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Es1ID+1Ek4ujIz/ndlK9DrHxvmSpzF1T7qarl6ivZp9Od48G3v9FyBXiKvCwevLBbCxZRpVYYYlUn/6M4crkcw==" workbookSaltValue="GeoqNnT9g2OWYFhIfaqQ4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AP15" i="20"/>
  <c r="R17" i="20"/>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S19" i="8" l="1"/>
  <c r="BG10" i="8"/>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AZ13" i="11" s="1"/>
  <c r="BK17" i="11"/>
  <c r="BG15" i="11"/>
  <c r="BJ12" i="11"/>
  <c r="BM12" i="11"/>
  <c r="BF10" i="11"/>
  <c r="BM16" i="11"/>
  <c r="BH11" i="16"/>
  <c r="AL16" i="11"/>
  <c r="C16" i="6"/>
  <c r="BE9" i="13"/>
  <c r="BH17" i="11"/>
  <c r="BL11" i="11"/>
  <c r="BG9" i="11"/>
  <c r="BI17" i="11"/>
  <c r="BJ15" i="11"/>
  <c r="BH9" i="11"/>
  <c r="AP10" i="21"/>
  <c r="BK11" i="11"/>
  <c r="X11" i="17"/>
  <c r="BK9" i="11"/>
  <c r="BK12" i="11"/>
  <c r="P17" i="17"/>
  <c r="BG10" i="11"/>
  <c r="BL9" i="11"/>
  <c r="BF11" i="11"/>
  <c r="AZ19"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<sst xmlns="http://schemas.openxmlformats.org/spreadsheetml/2006/main" count="2088" uniqueCount="918">
  <si>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</si>
  <si>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</si>
  <si>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</si>
  <si>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</si>
  <si>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</si>
  <si>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</si>
  <si>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</si>
  <si>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</si>
  <si>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</si>
  <si>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</si>
  <si>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</si>
  <si>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</si>
  <si>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</si>
  <si>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</si>
  <si>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</si>
  <si>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</si>
  <si>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</si>
  <si>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</si>
  <si>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</si>
  <si>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</si>
  <si>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</si>
  <si>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</si>
  <si>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</si>
  <si>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</si>
  <si>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</si>
  <si>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</si>
  <si>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</si>
  <si>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</si>
  <si>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</si>
  <si>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</si>
  <si>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</si>
  <si>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</si>
  <si>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</si>
  <si>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</si>
  <si>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</si>
  <si>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</si>
  <si>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</si>
  <si>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</si>
  <si>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</si>
  <si>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</si>
  <si>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</si>
  <si>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</si>
  <si>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</si>
  <si>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</si>
  <si>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</si>
  <si>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</si>
  <si>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</si>
  <si>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</si>
  <si>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</si>
  <si>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</si>
  <si>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</si>
  <si>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</si>
  <si>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</si>
  <si>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</si>
  <si>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</si>
  <si>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</si>
  <si>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</si>
  <si>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</si>
  <si>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</si>
  <si>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</si>
  <si>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</si>
  <si>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</si>
  <si>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</si>
  <si>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</si>
  <si>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</si>
  <si>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</si>
  <si>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</si>
  <si>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</si>
  <si>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</si>
  <si>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</si>
  <si>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</si>
  <si>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</si>
  <si>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</si>
  <si>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</si>
  <si>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</si>
  <si>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</si>
  <si>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</si>
  <si>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</si>
  <si>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</si>
  <si>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</si>
  <si>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</si>
  <si>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</si>
  <si>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</si>
  <si>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</si>
  <si>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</si>
  <si>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</si>
  <si>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</si>
  <si>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</si>
  <si>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</si>
  <si>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</si>
  <si>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</si>
  <si>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</si>
  <si>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</si>
  <si>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</si>
  <si>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</si>
  <si>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</si>
  <si>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</si>
  <si>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</si>
  <si>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</si>
  <si>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</si>
  <si>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</si>
  <si>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</si>
  <si>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</si>
  <si>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</si>
  <si>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</si>
  <si>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</si>
  <si>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</si>
  <si>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</si>
  <si>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</si>
  <si>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</si>
  <si>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</si>
  <si>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</si>
  <si>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</si>
  <si>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</si>
  <si>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</si>
  <si>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</si>
  <si>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</si>
  <si>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</si>
  <si>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</si>
  <si>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</si>
  <si>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</si>
  <si>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</si>
  <si>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</si>
  <si>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</si>
  <si>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</si>
  <si>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</si>
  <si>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</si>
  <si>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</si>
  <si>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</si>
  <si>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</si>
  <si>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</si>
  <si>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</si>
  <si>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</si>
  <si>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</si>
  <si>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</si>
  <si>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</si>
  <si>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</si>
  <si>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</si>
  <si>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</si>
  <si>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</si>
  <si>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</si>
  <si>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</si>
  <si>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</si>
  <si>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</si>
  <si>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</si>
  <si>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</si>
  <si>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</si>
  <si>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</si>
  <si>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</si>
  <si>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</si>
  <si>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</si>
  <si>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</si>
  <si>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</si>
  <si>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</si>
  <si>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</si>
  <si>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</si>
  <si>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</si>
  <si>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</si>
  <si>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</si>
  <si>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</si>
  <si>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</si>
  <si>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</si>
  <si>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</si>
  <si>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</si>
  <si>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</si>
  <si>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</si>
  <si>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</si>
  <si>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</si>
  <si>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</si>
  <si>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</si>
  <si>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</si>
  <si>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</si>
  <si>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</si>
  <si>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</si>
  <si>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</si>
  <si>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</si>
  <si>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</si>
  <si>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</si>
  <si>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</si>
  <si>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</si>
  <si>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</si>
  <si>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</si>
  <si>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</si>
  <si>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</si>
  <si>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</si>
  <si>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</si>
  <si>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</si>
  <si>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</si>
  <si>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</si>
  <si>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</si>
  <si>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</si>
  <si>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</si>
  <si>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</si>
  <si>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</si>
  <si>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</si>
  <si>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</si>
  <si>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</si>
  <si>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</si>
  <si>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</si>
  <si>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</si>
  <si>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</si>
  <si>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</si>
  <si>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</si>
  <si>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</si>
  <si>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</si>
  <si>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</si>
  <si>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</si>
  <si>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</si>
  <si>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</si>
  <si>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</si>
  <si>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</si>
  <si>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</si>
  <si>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</si>
  <si>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</si>
  <si>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</si>
  <si>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</si>
  <si>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</si>
  <si>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</si>
  <si>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</si>
  <si>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</si>
  <si>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</si>
  <si>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</si>
  <si>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</si>
  <si>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</si>
  <si>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</si>
  <si>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</si>
  <si>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</si>
  <si>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</si>
  <si>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</si>
  <si>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</si>
  <si>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</si>
  <si>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</si>
  <si>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</si>
  <si>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</si>
  <si>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</si>
  <si>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</si>
  <si>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</si>
  <si>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</si>
  <si>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</si>
  <si>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</si>
  <si>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</si>
  <si>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</si>
  <si>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</si>
  <si>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</si>
  <si>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</si>
  <si>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</si>
  <si>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</si>
  <si>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</si>
  <si>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</si>
  <si>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</si>
  <si>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</si>
  <si>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</si>
  <si>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</si>
  <si>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</si>
  <si>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</si>
  <si>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</si>
  <si>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</si>
  <si>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</si>
  <si>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</si>
  <si>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</si>
  <si>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</si>
  <si>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</si>
  <si>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</si>
  <si>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</si>
  <si>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</si>
  <si>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</si>
  <si>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</si>
  <si>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</si>
  <si>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</si>
  <si>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</si>
  <si>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</si>
  <si>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</si>
  <si>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</si>
  <si>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</si>
  <si>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</si>
  <si>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</si>
  <si>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</si>
  <si>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</si>
  <si>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</si>
  <si>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</si>
  <si>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</si>
  <si>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</si>
  <si>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</si>
  <si>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</si>
  <si>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</si>
  <si>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</si>
  <si>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</si>
  <si>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</si>
  <si>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</si>
  <si>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</si>
  <si>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</si>
  <si>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</si>
  <si>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</si>
  <si>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</si>
  <si>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</si>
  <si>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</si>
  <si>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</si>
  <si>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</si>
  <si>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</si>
  <si>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</si>
  <si>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</si>
  <si>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</si>
  <si>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</si>
  <si>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</si>
  <si>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</si>
  <si>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</si>
  <si>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</si>
  <si>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</si>
  <si>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</si>
  <si>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</si>
  <si>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</si>
  <si>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</si>
  <si>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</si>
  <si>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</si>
  <si>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</si>
  <si>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</si>
  <si>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</si>
  <si>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</si>
  <si>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</si>
  <si>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</si>
  <si>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</si>
  <si>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</si>
  <si>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</si>
  <si>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</si>
  <si>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</si>
  <si>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</si>
  <si>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</si>
  <si>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</si>
  <si>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</si>
  <si>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</si>
  <si>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</si>
  <si>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</si>
  <si>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</si>
  <si>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</si>
  <si>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</si>
  <si>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</si>
  <si>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</si>
  <si>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</si>
  <si>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</si>
  <si>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</si>
  <si>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</si>
  <si>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</si>
  <si>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</si>
  <si>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</si>
  <si>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</si>
  <si>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</si>
  <si>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</si>
  <si>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</si>
  <si>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</si>
  <si>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</si>
  <si>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</si>
  <si>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</si>
  <si>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</si>
  <si>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</si>
  <si>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</si>
  <si>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</si>
  <si>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</si>
  <si>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</si>
  <si>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</si>
  <si>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</si>
  <si>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</si>
  <si>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</si>
  <si>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</si>
  <si>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</si>
  <si>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</si>
  <si>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</si>
  <si>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</si>
  <si>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</si>
  <si>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</si>
  <si>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</si>
  <si>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</si>
  <si>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</si>
  <si>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</si>
  <si>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</si>
  <si>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</si>
  <si>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</si>
  <si>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</si>
  <si>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</si>
  <si>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</si>
  <si>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</si>
  <si>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</si>
  <si>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</si>
  <si>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</si>
  <si>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</si>
  <si>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</si>
  <si>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</si>
  <si>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</si>
  <si>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</si>
  <si>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</si>
  <si>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</si>
  <si>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</si>
  <si>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</si>
  <si>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</si>
  <si>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</si>
  <si>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</si>
  <si>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</si>
  <si>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</si>
  <si>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</si>
  <si>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</si>
  <si>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</si>
  <si>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</si>
  <si>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</si>
  <si>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</si>
  <si>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</si>
  <si>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</si>
  <si>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</si>
  <si>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</si>
  <si>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</si>
  <si>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</si>
  <si>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</si>
  <si>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</si>
  <si>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</si>
  <si>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</si>
  <si>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</si>
  <si>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</si>
  <si>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</si>
  <si>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</si>
  <si>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</si>
  <si>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</si>
  <si>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</si>
  <si>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</si>
  <si>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</si>
  <si>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</si>
  <si>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</si>
  <si>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</si>
  <si>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</si>
  <si>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</si>
  <si>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</si>
  <si>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</si>
  <si>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</si>
  <si>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</si>
  <si>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</si>
  <si>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</si>
  <si>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</si>
  <si>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</si>
  <si>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</si>
  <si>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</si>
  <si>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</si>
  <si>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</si>
  <si>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</si>
  <si>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</si>
  <si>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</si>
  <si>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</si>
  <si>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</si>
  <si>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</si>
  <si>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</si>
  <si>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</si>
  <si>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</si>
  <si>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</si>
  <si>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</si>
  <si>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</si>
  <si>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</si>
  <si>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</si>
  <si>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</si>
  <si>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</si>
  <si>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</si>
  <si>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</si>
  <si>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</si>
  <si>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</si>
  <si>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</si>
  <si>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</si>
  <si>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</si>
  <si>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</si>
  <si>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</si>
  <si>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</si>
  <si>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</si>
  <si>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</si>
  <si>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</si>
  <si>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</si>
  <si>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</si>
  <si>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</si>
  <si>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</si>
  <si>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</si>
  <si>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</si>
  <si>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</si>
  <si>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</si>
  <si>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</si>
  <si>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</si>
  <si>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</si>
  <si>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</si>
  <si>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</si>
  <si>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</si>
  <si>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</si>
  <si>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</si>
  <si>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</si>
  <si>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</si>
  <si>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</si>
  <si>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</si>
  <si>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</si>
  <si>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</si>
  <si>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</si>
  <si>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</si>
  <si>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</si>
  <si>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</si>
  <si>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</si>
  <si>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</si>
  <si>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</si>
  <si>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</si>
  <si>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</si>
  <si>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</si>
  <si>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</si>
  <si>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</si>
  <si>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</si>
  <si>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</si>
  <si>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</si>
  <si>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</si>
  <si>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</si>
  <si>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</si>
  <si>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</si>
  <si>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</si>
  <si>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</si>
  <si>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</si>
  <si>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</si>
  <si>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</si>
  <si>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</si>
  <si>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</si>
  <si>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</si>
  <si>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</si>
  <si>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</si>
  <si>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</si>
  <si>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</si>
  <si>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</si>
  <si>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</si>
  <si>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</si>
  <si>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</si>
  <si>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</si>
  <si>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</si>
  <si>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</si>
  <si>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</si>
  <si>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</si>
  <si>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</si>
  <si>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</si>
  <si>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</si>
  <si>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</si>
  <si>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</si>
  <si>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</si>
  <si>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</si>
  <si>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</si>
  <si>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</si>
  <si>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</si>
  <si>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</si>
  <si>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</si>
  <si>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</si>
  <si>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</si>
  <si>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</si>
  <si>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</si>
  <si>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</si>
  <si>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</si>
  <si>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</si>
  <si>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</si>
  <si>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</si>
  <si>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</si>
  <si>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</si>
  <si>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</si>
  <si>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</si>
  <si>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</si>
  <si>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</si>
  <si>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</si>
  <si>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</si>
  <si>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</si>
  <si>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</si>
  <si>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</si>
  <si>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</si>
  <si>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</si>
  <si>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</si>
  <si>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</si>
  <si>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</si>
  <si>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</si>
  <si>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</si>
  <si>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</si>
  <si>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</si>
  <si>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</si>
  <si>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</si>
  <si>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</si>
  <si>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</si>
  <si>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</si>
  <si>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</si>
  <si>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</si>
  <si>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</si>
  <si>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</si>
  <si>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</si>
  <si>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</si>
  <si>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</si>
  <si>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</si>
  <si>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</si>
  <si>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</si>
  <si>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</si>
  <si>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</si>
  <si>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</si>
  <si>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</si>
  <si>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</si>
  <si>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</si>
  <si>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</si>
  <si>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</si>
  <si>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</si>
  <si>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</si>
  <si>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</si>
  <si>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</si>
  <si>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</si>
  <si>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</si>
  <si>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</si>
  <si>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</si>
  <si>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</si>
  <si>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</si>
  <si>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</si>
  <si>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</si>
  <si>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</si>
  <si>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</si>
  <si>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</si>
  <si>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</si>
  <si>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</si>
  <si>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</si>
  <si>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</si>
  <si>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</si>
  <si>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</si>
  <si>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</si>
  <si>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</si>
  <si>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</si>
  <si>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</si>
  <si>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</si>
  <si>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</si>
  <si>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</si>
  <si>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</si>
  <si>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</si>
  <si>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</si>
  <si>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</si>
  <si>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</si>
  <si>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</si>
  <si>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</si>
  <si>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</si>
  <si>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</si>
  <si>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</si>
  <si>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</si>
  <si>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</si>
  <si>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</si>
  <si>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</si>
  <si>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</si>
  <si>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</si>
  <si>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</si>
  <si>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</si>
  <si>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</si>
  <si>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</si>
  <si>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</si>
  <si>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</si>
  <si>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</si>
  <si>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</si>
  <si>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</si>
  <si>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</si>
  <si>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</si>
  <si>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</si>
  <si>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</si>
  <si>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</si>
  <si>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</si>
  <si>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</si>
  <si>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</si>
  <si>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</si>
  <si>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</si>
  <si>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</si>
  <si>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</si>
  <si>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</si>
  <si>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</si>
  <si>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</si>
  <si>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</si>
  <si>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</si>
  <si>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</si>
  <si>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</si>
  <si>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</si>
  <si>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</si>
  <si>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</si>
  <si>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</si>
  <si>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</si>
  <si>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</si>
  <si>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</si>
  <si>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</si>
  <si>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</si>
  <si>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</si>
  <si>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</si>
  <si>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</si>
  <si>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</si>
  <si>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</si>
  <si>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</si>
  <si>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</si>
  <si>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</si>
  <si>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</si>
  <si>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</si>
  <si>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</si>
  <si>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</si>
  <si>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</si>
  <si>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</si>
  <si>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</si>
  <si>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</si>
  <si>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</si>
  <si>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</si>
  <si>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</si>
  <si>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</si>
  <si>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</si>
  <si>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</si>
  <si>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</si>
  <si>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</si>
  <si>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</si>
  <si>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</si>
  <si>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</si>
  <si>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</si>
  <si>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</si>
  <si>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</si>
  <si>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</si>
  <si>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</si>
  <si>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</si>
  <si>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</si>
  <si>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</si>
  <si>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</si>
  <si>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</si>
  <si>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</si>
  <si>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</si>
  <si>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</si>
  <si>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</si>
  <si>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</si>
  <si>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</si>
  <si>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</si>
  <si>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</si>
  <si>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</si>
  <si>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</si>
  <si>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</si>
  <si>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</si>
  <si>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</si>
  <si>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</si>
  <si>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</si>
  <si>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</si>
  <si>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</si>
  <si>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</si>
  <si>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</si>
  <si>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</si>
  <si>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</si>
  <si>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</si>
  <si>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</si>
  <si>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</si>
  <si>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</si>
  <si>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</si>
  <si>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</si>
  <si>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</si>
  <si>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</si>
  <si>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</si>
  <si>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</si>
  <si>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</si>
  <si>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</si>
  <si>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</si>
  <si>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</si>
  <si>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</si>
  <si>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</si>
  <si>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</si>
  <si>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</si>
  <si>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</si>
  <si>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</si>
  <si>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</si>
  <si>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</si>
  <si>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</si>
  <si>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</si>
  <si>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</si>
  <si>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</si>
  <si>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</si>
  <si>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</si>
  <si>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</si>
  <si>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</si>
  <si>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</si>
  <si>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</si>
  <si>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</si>
  <si>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</si>
  <si>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</si>
  <si>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</si>
  <si>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</si>
  <si>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</si>
  <si>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</si>
  <si>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</si>
  <si>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</si>
  <si>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</si>
  <si>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</si>
  <si>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</si>
  <si>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</si>
  <si>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</si>
  <si>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</si>
  <si>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</si>
  <si>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</si>
  <si>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</si>
  <si>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</si>
  <si>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</si>
  <si>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</si>
  <si>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</si>
  <si>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</si>
  <si>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</si>
  <si>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</si>
  <si>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</si>
  <si>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</si>
  <si>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</si>
  <si>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</si>
  <si>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</si>
  <si>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</si>
  <si>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</si>
  <si>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</si>
  <si>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</si>
  <si>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</si>
  <si>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</si>
  <si>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</si>
  <si>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</si>
  <si>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</si>
  <si>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</si>
  <si>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</si>
  <si>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</si>
  <si>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</si>
  <si>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</si>
  <si>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</si>
  <si>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</si>
  <si>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</si>
  <si>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</si>
  <si>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</si>
  <si>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</si>
  <si>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</si>
  <si>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</si>
  <si>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</si>
  <si>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</si>
  <si>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</si>
  <si>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</si>
  <si>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</si>
  <si>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</si>
  <si>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</si>
  <si>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</si>
  <si>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</si>
  <si>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</si>
  <si>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</si>
  <si>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</si>
  <si>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</si>
  <si>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</si>
  <si>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</si>
  <si>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</si>
  <si>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</si>
  <si>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</si>
  <si>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</si>
  <si>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</si>
  <si>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</si>
  <si>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</si>
  <si>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</si>
  <si>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</si>
  <si>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</si>
  <si>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</si>
  <si>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</si>
  <si>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</si>
  <si>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</si>
  <si>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</si>
  <si>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</si>
  <si>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</si>
  <si>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</si>
  <si>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</si>
  <si>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</si>
  <si>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</si>
  <si>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</si>
  <si>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</si>
  <si>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</si>
  <si>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</si>
  <si>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</si>
  <si>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</si>
  <si>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</si>
  <si>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</si>
  <si>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</si>
  <si>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</si>
  <si>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</si>
  <si>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</si>
  <si>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</si>
  <si>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</si>
  <si>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</si>
  <si>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</si>
  <si>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</si>
  <si>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</si>
  <si>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</si>
  <si>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</si>
  <si>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</si>
  <si>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</si>
  <si>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</si>
  <si>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</si>
  <si>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</si>
  <si>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</si>
  <si>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</si>
  <si>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</si>
  <si>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</si>
  <si>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</si>
  <si>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</si>
  <si>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</si>
  <si>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</si>
  <si>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</si>
  <si>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</si>
  <si>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</si>
  <si>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</si>
  <si>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</si>
  <si>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</si>
  <si>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</si>
  <si>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</si>
  <si>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</si>
  <si>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</si>
  <si>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</si>
  <si>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</si>
  <si>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</si>
  <si>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</si>
  <si>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</si>
  <si>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</si>
  <si>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</si>
  <si>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</si>
  <si>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</si>
  <si>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</si>
  <si>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</si>
  <si>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</si>
  <si>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</si>
  <si>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</si>
  <si>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</si>
  <si>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</si>
  <si>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</si>
  <si>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</si>
  <si>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</si>
  <si>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</si>
  <si>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</si>
  <si>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SABADELL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</si>
</sst>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4inpS/2yNar4mlQklOQ1hQ1ySDGUU90wnoUEGwj46Srpvn95T83Rs+mk2N5MisJCNrhTmXCu0qxTKWlscjGAg==" saltValue="HL6gflVIZu9NroapGaQ7t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44.866574202496537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142</v>
      </c>
      <c r="D10" s="225">
        <f>IF(ISNUMBER(Datos!I10),Datos!I10," - ")</f>
        <v>142</v>
      </c>
      <c r="E10" s="226">
        <f>IF(ISNUMBER(Datos!J10),Datos!J10," - ")</f>
        <v>31</v>
      </c>
      <c r="F10" s="226">
        <f>IF(ISNUMBER(Datos!K10),Datos!K10," - ")</f>
        <v>31</v>
      </c>
      <c r="G10" s="1034" t="str">
        <f>IF(Datos!E10&lt;&gt;"",Datos!E10,Datos!D10)</f>
        <v>37</v>
      </c>
      <c r="H10" s="227">
        <f>IF(ISNUMBER(Datos!L10),Datos!L10," - ")</f>
        <v>142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50.387096774193552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22.408849557522124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142</v>
      </c>
      <c r="D13" s="1049">
        <f>SUBTOTAL(9,D9:D12)</f>
        <v>142</v>
      </c>
      <c r="E13" s="1050">
        <f>SUBTOTAL(9,E9:E12)</f>
        <v>31</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6210</v>
      </c>
      <c r="D15" s="225">
        <f>IF(ISNUMBER(IF(D_I="SI",Datos!I15,Datos!I15+Datos!AC15)),IF(D_I="SI",Datos!I15,Datos!I15+Datos!AC15)," - ")</f>
        <v>6190</v>
      </c>
      <c r="E15" s="226">
        <f>IF(ISNUMBER(IF(D_I="SI",Datos!J15,Datos!J15+Datos!AD15)),IF(D_I="SI",Datos!J15,Datos!J15+Datos!AD15)," - ")</f>
        <v>3347</v>
      </c>
      <c r="F15" s="226">
        <f>IF(ISNUMBER(IF(D_I="SI",Datos!K15,Datos!K15+Datos!AE15)),IF(D_I="SI",Datos!K15,Datos!K15+Datos!AE15)," - ")</f>
        <v>3268</v>
      </c>
      <c r="G15" s="1034" t="str">
        <f>IF(Datos!E15&lt;&gt;"",Datos!E15,Datos!D15)</f>
        <v>03</v>
      </c>
      <c r="H15" s="227">
        <f>IF(ISNUMBER(IF(D_I="SI",Datos!L15,Datos!L15+Datos!AF15)),IF(D_I="SI",Datos!L15,Datos!L15+Datos!AF15)," - ")</f>
        <v>6289</v>
      </c>
      <c r="I15" s="1044" t="str">
        <f>IF(ISNUMBER(Datos!AS15/Datos!BM15),Datos!AS15/Datos!BM15," - ")</f>
        <v xml:space="preserve"> - </v>
      </c>
      <c r="J15" s="1045">
        <f>IF(ISNUMBER(Datos!BY15/Datos!CN15),Datos!BY15/Datos!CN15," - ")</f>
        <v>0</v>
      </c>
      <c r="K15" s="230">
        <f t="shared" ref="K15:K17" si="3">IF(ISNUMBER((E15-F15)/C15),(E15-F15)/C15," - ")</f>
        <v>1.2721417069243157E-2</v>
      </c>
      <c r="L15" s="1025">
        <f>IF(ISNUMBER(NºAsuntos!I15/NºAsuntos!G15),(NºAsuntos!I15/NºAsuntos!G15)*11," - ")</f>
        <v>21.168604651162791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247</v>
      </c>
      <c r="D17" s="225">
        <f>IF(ISNUMBER(IF(D_I="SI",Datos!I17,Datos!I17+Datos!AC17)),IF(D_I="SI",Datos!I17,Datos!I17+Datos!AC17)," - ")</f>
        <v>247</v>
      </c>
      <c r="E17" s="226">
        <f>IF(ISNUMBER(IF(D_I="SI",Datos!J17,Datos!J17+Datos!AD17)),IF(D_I="SI",Datos!J17,Datos!J17+Datos!AD17)," - ")</f>
        <v>353</v>
      </c>
      <c r="F17" s="226">
        <f>IF(ISNUMBER(IF(D_I="SI",Datos!K17,Datos!K17+Datos!AE17)),IF(D_I="SI",Datos!K17,Datos!K17+Datos!AE17)," - ")</f>
        <v>338</v>
      </c>
      <c r="G17" s="1034" t="str">
        <f>IF(Datos!E17&lt;&gt;"",Datos!E17,Datos!D17)</f>
        <v>37</v>
      </c>
      <c r="H17" s="227">
        <f>IF(ISNUMBER(IF(D_I="SI",Datos!L17,Datos!L17+Datos!AF17)),IF(D_I="SI",Datos!L17,Datos!L17+Datos!AF17)," - ")</f>
        <v>262</v>
      </c>
      <c r="I17" s="1044" t="str">
        <f>IF(ISNUMBER(Datos!AS17/Datos!BM17),Datos!AS17/Datos!BM17," - ")</f>
        <v xml:space="preserve"> - </v>
      </c>
      <c r="J17" s="1045" t="str">
        <f>IF(ISNUMBER((Datos!BY17+Datos!BZ17)/Datos!CN17),(Datos!BY17+Datos!BZ17)/Datos!CN17," - ")</f>
        <v xml:space="preserve"> - </v>
      </c>
      <c r="K17" s="230">
        <f t="shared" si="3"/>
        <v>6.0728744939271252E-2</v>
      </c>
      <c r="L17" s="1025">
        <f>IF(ISNUMBER(NºAsuntos!I17/NºAsuntos!G17),(NºAsuntos!I17/NºAsuntos!G17)*11," - ")</f>
        <v>8.5266272189349106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6457</v>
      </c>
      <c r="D18" s="1049">
        <f>SUBTOTAL(9,D15:D17)</f>
        <v>6437</v>
      </c>
      <c r="E18" s="1050">
        <f>SUBTOTAL(9,E15:E17)</f>
        <v>3700</v>
      </c>
      <c r="F18" s="1050">
        <f>SUBTOTAL(9,F15:F17)</f>
        <v>3606</v>
      </c>
      <c r="G18" s="1052" t="str">
        <f ca="1">INDIRECT(CONCATENATE("G",ROW()-1))</f>
        <v>37</v>
      </c>
      <c r="H18" s="1053">
        <f ca="1">SUMIF(G$14:G17,G18,H$14:H17)</f>
        <v>262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6599</v>
      </c>
      <c r="D19" s="1071">
        <f>SUBTOTAL(9,D9:D18)</f>
        <v>6579</v>
      </c>
      <c r="E19" s="1072">
        <f>SUBTOTAL(9,E9:E18)</f>
        <v>3731</v>
      </c>
      <c r="F19" s="1072">
        <f>SUBTOTAL(9,F9:F18)</f>
        <v>3637</v>
      </c>
      <c r="G19" s="1073"/>
      <c r="H19" s="1074">
        <f ca="1">SUMIF(B9:B18,"TOTAL",H9:H18)</f>
        <v>262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YeyzLNMvK5jnAtmzBvuPFMe8uxqr1ZdwTFnhSpWdHCVc0rZXo04/+dJ4d7l70zyNT1qlgu0uaR4OjRHwMvA2Q==" saltValue="Z95nO6a9dEWskFTv/t58y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beAx8V4CGwJvdTL+b8zAyDuSwmjAvwzgNstUhxz1wNvdT9QFXr+fWDNjsKE/mkZXReVxQcwUiG2dIW+oGlVQA==" saltValue="0Hrh/ynobBD8zV8k+hY8R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15537</v>
      </c>
      <c r="J9" s="181">
        <v>2446</v>
      </c>
      <c r="K9" s="181">
        <v>3480</v>
      </c>
      <c r="L9" s="181">
        <v>14497</v>
      </c>
      <c r="M9" s="181">
        <v>656</v>
      </c>
      <c r="N9" s="181">
        <v>1680</v>
      </c>
      <c r="O9" s="181">
        <v>1667</v>
      </c>
      <c r="P9" s="181">
        <v>528</v>
      </c>
      <c r="Q9" s="181">
        <v>987</v>
      </c>
      <c r="R9" s="181">
        <v>16387</v>
      </c>
      <c r="S9" s="181">
        <v>14149</v>
      </c>
      <c r="T9" s="181">
        <v>2867</v>
      </c>
      <c r="U9" s="181">
        <v>2642</v>
      </c>
      <c r="V9" s="181">
        <v>14318</v>
      </c>
      <c r="W9" s="181">
        <v>583</v>
      </c>
      <c r="X9" s="188">
        <v>1245</v>
      </c>
      <c r="Y9" s="191">
        <v>272</v>
      </c>
      <c r="Z9" s="181">
        <v>74</v>
      </c>
      <c r="AA9" s="181">
        <v>125</v>
      </c>
      <c r="AB9" s="181">
        <v>207</v>
      </c>
      <c r="AC9" s="181">
        <v>0</v>
      </c>
      <c r="AD9" s="181">
        <v>0</v>
      </c>
      <c r="AE9" s="181">
        <v>0</v>
      </c>
      <c r="AF9" s="188">
        <v>0</v>
      </c>
      <c r="AG9" s="191">
        <v>411</v>
      </c>
      <c r="AH9" s="181">
        <v>105</v>
      </c>
      <c r="AI9" s="181">
        <v>154</v>
      </c>
      <c r="AJ9" s="192">
        <v>362</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14560</v>
      </c>
      <c r="AZ9" s="123">
        <f>IF(ISNUMBER(IF(J_V="SI",T9,T9+AH9)),IF(J_V="SI",T9,T9+AH9)," - ")</f>
        <v>2972</v>
      </c>
      <c r="BA9" s="124">
        <f>IF(ISNUMBER(IF(J_V="SI",U9,U9+AI9)),IF(J_V="SI",U9,U9+AI9)," - ")</f>
        <v>2796</v>
      </c>
      <c r="BB9" s="124">
        <f>IF(ISNUMBER(IF(J_V="SI",V9,V9+AJ9)),IF(J_V="SI",V9,V9+AJ9)," - ")</f>
        <v>14680</v>
      </c>
      <c r="BC9" s="125">
        <f>IF(ISNUMBER(X9),X9," - ")</f>
        <v>1245</v>
      </c>
      <c r="BD9" s="126">
        <f>IF(ISNUMBER(BA9/AZ9),BA9/AZ9," - ")</f>
        <v>0.94078061911170929</v>
      </c>
      <c r="BE9" s="127">
        <f>IF(ISNUMBER(BB9/BA9),BB9/BA9, " - ")</f>
        <v>5.2503576537911298</v>
      </c>
      <c r="BF9" s="127">
        <f>IF(ISNUMBER(BC9/BA9),BC9/BA9, " - ")</f>
        <v>0.44527896995708155</v>
      </c>
      <c r="BG9" s="196">
        <f>IF(ISNUMBER((AY9+AZ9)/BA9),(AY9+AZ9)/BA9," - ")</f>
        <v>6.2703862660944205</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142</v>
      </c>
      <c r="J10" s="181">
        <v>31</v>
      </c>
      <c r="K10" s="181">
        <v>31</v>
      </c>
      <c r="L10" s="181">
        <v>142</v>
      </c>
      <c r="M10" s="181">
        <v>21</v>
      </c>
      <c r="N10" s="181">
        <v>7</v>
      </c>
      <c r="O10" s="181">
        <v>4</v>
      </c>
      <c r="P10" s="181">
        <v>8</v>
      </c>
      <c r="Q10" s="181">
        <v>1</v>
      </c>
      <c r="R10" s="181">
        <v>163</v>
      </c>
      <c r="S10" s="181">
        <v>121</v>
      </c>
      <c r="T10" s="181">
        <v>33</v>
      </c>
      <c r="U10" s="181">
        <v>33</v>
      </c>
      <c r="V10" s="181">
        <v>121</v>
      </c>
      <c r="W10" s="181">
        <v>12</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121</v>
      </c>
      <c r="AZ10" s="129">
        <f t="shared" si="0"/>
        <v>33</v>
      </c>
      <c r="BA10" s="129">
        <f t="shared" si="0"/>
        <v>33</v>
      </c>
      <c r="BB10" s="129">
        <f t="shared" si="0"/>
        <v>121</v>
      </c>
      <c r="BC10" s="125">
        <f t="shared" si="0"/>
        <v>12</v>
      </c>
      <c r="BD10" s="126">
        <f>IF(ISNUMBER(BA10/AZ10),BA10/AZ10," - ")</f>
        <v>1</v>
      </c>
      <c r="BE10" s="127">
        <f>IF(ISNUMBER(BB10/BA10),BB10/BA10, " - ")</f>
        <v>3.6666666666666665</v>
      </c>
      <c r="BF10" s="127">
        <f>IF(ISNUMBER(BC10/BA10),BC10/BA10, " - ")</f>
        <v>0.36363636363636365</v>
      </c>
      <c r="BG10" s="196">
        <f>IF(ISNUMBER((AY10+AZ10)/BA10),(AY10+AZ10)/BA10," - ")</f>
        <v>4.666666666666667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1078</v>
      </c>
      <c r="J11" s="183">
        <v>357</v>
      </c>
      <c r="K11" s="183">
        <v>383</v>
      </c>
      <c r="L11" s="183">
        <v>1091</v>
      </c>
      <c r="M11" s="183">
        <v>146</v>
      </c>
      <c r="N11" s="183">
        <v>378</v>
      </c>
      <c r="O11" s="181">
        <v>113</v>
      </c>
      <c r="P11" s="183">
        <v>45</v>
      </c>
      <c r="Q11" s="183">
        <v>60</v>
      </c>
      <c r="R11" s="183">
        <v>806</v>
      </c>
      <c r="S11" s="183">
        <v>1001</v>
      </c>
      <c r="T11" s="183">
        <v>354</v>
      </c>
      <c r="U11" s="183">
        <v>336</v>
      </c>
      <c r="V11" s="183">
        <v>1018</v>
      </c>
      <c r="W11" s="183">
        <v>143</v>
      </c>
      <c r="X11" s="189">
        <v>312</v>
      </c>
      <c r="Y11" s="191">
        <v>80</v>
      </c>
      <c r="Z11" s="181">
        <v>189</v>
      </c>
      <c r="AA11" s="181">
        <v>182</v>
      </c>
      <c r="AB11" s="181">
        <v>60</v>
      </c>
      <c r="AC11" s="183">
        <v>0</v>
      </c>
      <c r="AD11" s="183">
        <v>0</v>
      </c>
      <c r="AE11" s="183">
        <v>0</v>
      </c>
      <c r="AF11" s="189">
        <v>0</v>
      </c>
      <c r="AG11" s="202">
        <v>44</v>
      </c>
      <c r="AH11" s="183">
        <v>181</v>
      </c>
      <c r="AI11" s="183">
        <v>182</v>
      </c>
      <c r="AJ11" s="203">
        <v>43</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1045</v>
      </c>
      <c r="AZ11" s="127">
        <f t="shared" si="1"/>
        <v>535</v>
      </c>
      <c r="BA11" s="127">
        <f t="shared" si="1"/>
        <v>518</v>
      </c>
      <c r="BB11" s="127">
        <f t="shared" si="1"/>
        <v>1061</v>
      </c>
      <c r="BC11" s="125">
        <f>IF(ISNUMBER(X11),X11," - ")</f>
        <v>312</v>
      </c>
      <c r="BD11" s="126">
        <f t="shared" ref="BD11:BD12" si="2">IF(ISNUMBER(BA11/AZ11),BA11/AZ11," - ")</f>
        <v>0.96822429906542051</v>
      </c>
      <c r="BE11" s="127">
        <f t="shared" ref="BE11:BE12" si="3">IF(ISNUMBER(BB11/BA11),BB11/BA11, " - ")</f>
        <v>2.0482625482625481</v>
      </c>
      <c r="BF11" s="127">
        <f t="shared" ref="BF11:BF12" si="4">IF(ISNUMBER(BC11/BA11),BC11/BA11, " - ")</f>
        <v>0.60231660231660233</v>
      </c>
      <c r="BG11" s="196">
        <f t="shared" ref="BG11:BG12" si="5">IF(ISNUMBER((AY11+AZ11)/BA11),(AY11+AZ11)/BA11," - ")</f>
        <v>3.0501930501930503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16757</v>
      </c>
      <c r="J13" s="184">
        <f t="shared" si="6"/>
        <v>2834</v>
      </c>
      <c r="K13" s="184">
        <f t="shared" si="6"/>
        <v>3894</v>
      </c>
      <c r="L13" s="184">
        <f t="shared" si="6"/>
        <v>15730</v>
      </c>
      <c r="M13" s="184">
        <f t="shared" si="6"/>
        <v>823</v>
      </c>
      <c r="N13" s="184">
        <f t="shared" si="6"/>
        <v>2065</v>
      </c>
      <c r="O13" s="184">
        <f t="shared" si="6"/>
        <v>1784</v>
      </c>
      <c r="P13" s="184">
        <f t="shared" si="6"/>
        <v>581</v>
      </c>
      <c r="Q13" s="184">
        <f t="shared" si="6"/>
        <v>1048</v>
      </c>
      <c r="R13" s="184">
        <f t="shared" si="6"/>
        <v>17356</v>
      </c>
      <c r="S13" s="184">
        <f t="shared" si="6"/>
        <v>15271</v>
      </c>
      <c r="T13" s="184">
        <f t="shared" si="6"/>
        <v>3254</v>
      </c>
      <c r="U13" s="184">
        <f t="shared" si="6"/>
        <v>3011</v>
      </c>
      <c r="V13" s="184">
        <f t="shared" si="6"/>
        <v>15457</v>
      </c>
      <c r="W13" s="184">
        <f t="shared" si="6"/>
        <v>738</v>
      </c>
      <c r="X13" s="184">
        <f t="shared" si="6"/>
        <v>1567</v>
      </c>
      <c r="Y13" s="184">
        <f t="shared" si="6"/>
        <v>352</v>
      </c>
      <c r="Z13" s="184">
        <f t="shared" si="6"/>
        <v>263</v>
      </c>
      <c r="AA13" s="184">
        <f t="shared" si="6"/>
        <v>307</v>
      </c>
      <c r="AB13" s="184">
        <f t="shared" si="6"/>
        <v>267</v>
      </c>
      <c r="AC13" s="184">
        <f t="shared" si="6"/>
        <v>0</v>
      </c>
      <c r="AD13" s="184">
        <f t="shared" si="6"/>
        <v>0</v>
      </c>
      <c r="AE13" s="184">
        <f t="shared" si="6"/>
        <v>0</v>
      </c>
      <c r="AF13" s="184">
        <f>SUBTOTAL(9,AF9:AF12)</f>
        <v>0</v>
      </c>
      <c r="AG13" s="184">
        <f t="shared" ref="AG13:AT13" si="7">SUBTOTAL(9,AG8:AG12)</f>
        <v>455</v>
      </c>
      <c r="AH13" s="184">
        <f t="shared" si="7"/>
        <v>286</v>
      </c>
      <c r="AI13" s="184">
        <f t="shared" si="7"/>
        <v>336</v>
      </c>
      <c r="AJ13" s="184">
        <f t="shared" si="7"/>
        <v>405</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15726</v>
      </c>
      <c r="AZ13" s="184">
        <f>SUBTOTAL(9,AZ8:AZ12)</f>
        <v>3540</v>
      </c>
      <c r="BA13" s="184">
        <f>SUBTOTAL(9,BA8:BA12)</f>
        <v>3347</v>
      </c>
      <c r="BB13" s="184">
        <f>SUBTOTAL(9,BB8:BB12)</f>
        <v>15862</v>
      </c>
      <c r="BC13" s="184">
        <f>SUBTOTAL(9,BC8:BC12)</f>
        <v>1569</v>
      </c>
      <c r="BD13" s="205">
        <f>IF(ISNUMBER(BA13/AZ13),BA13/AZ13," - ")</f>
        <v>0.94548022598870052</v>
      </c>
      <c r="BE13" s="206">
        <f>IF(ISNUMBER(BB13/BA13),BB13/BA13, " - ")</f>
        <v>4.7391694054377052</v>
      </c>
      <c r="BF13" s="206">
        <f>IF(ISNUMBER(BC13/BA13),BC13/BA13, " - ")</f>
        <v>0.46877801015835074</v>
      </c>
      <c r="BG13" s="207">
        <f>IF(ISNUMBER((AY13+AZ13)/BA13),(AY13+AZ13)/BA13," - ")</f>
        <v>5.7561995817149683</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6190</v>
      </c>
      <c r="J15" s="183">
        <v>3347</v>
      </c>
      <c r="K15" s="183">
        <v>3268</v>
      </c>
      <c r="L15" s="183">
        <v>6289</v>
      </c>
      <c r="M15" s="183">
        <v>344</v>
      </c>
      <c r="N15" s="183">
        <v>2247</v>
      </c>
      <c r="O15" s="181">
        <v>64</v>
      </c>
      <c r="P15" s="183">
        <v>131</v>
      </c>
      <c r="Q15" s="183">
        <v>100</v>
      </c>
      <c r="R15" s="183">
        <v>717</v>
      </c>
      <c r="S15" s="183">
        <v>5813</v>
      </c>
      <c r="T15" s="183">
        <v>3192</v>
      </c>
      <c r="U15" s="183">
        <v>3072</v>
      </c>
      <c r="V15" s="183">
        <v>5998</v>
      </c>
      <c r="W15" s="183">
        <v>321</v>
      </c>
      <c r="X15" s="189">
        <v>1905</v>
      </c>
      <c r="Y15" s="202">
        <v>0</v>
      </c>
      <c r="Z15" s="183">
        <v>0</v>
      </c>
      <c r="AA15" s="183">
        <v>0</v>
      </c>
      <c r="AB15" s="183">
        <v>0</v>
      </c>
      <c r="AC15" s="183">
        <v>1</v>
      </c>
      <c r="AD15" s="183">
        <v>69</v>
      </c>
      <c r="AE15" s="183">
        <v>70</v>
      </c>
      <c r="AF15" s="189">
        <v>0</v>
      </c>
      <c r="AG15" s="202">
        <v>0</v>
      </c>
      <c r="AH15" s="183">
        <v>0</v>
      </c>
      <c r="AI15" s="183">
        <v>0</v>
      </c>
      <c r="AJ15" s="203">
        <v>0</v>
      </c>
      <c r="AK15" s="182">
        <v>0</v>
      </c>
      <c r="AL15" s="183">
        <v>58</v>
      </c>
      <c r="AM15" s="183">
        <v>58</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5813</v>
      </c>
      <c r="AZ15" s="129">
        <f t="shared" si="9"/>
        <v>3192</v>
      </c>
      <c r="BA15" s="129">
        <f t="shared" si="9"/>
        <v>3072</v>
      </c>
      <c r="BB15" s="129">
        <f t="shared" si="9"/>
        <v>5998</v>
      </c>
      <c r="BC15" s="125">
        <f>IF(ISNUMBER(W15),W15," - ")</f>
        <v>321</v>
      </c>
      <c r="BD15" s="126">
        <f>IF(ISNUMBER(BA15/AZ15),BA15/AZ15," - ")</f>
        <v>0.96240601503759393</v>
      </c>
      <c r="BE15" s="127">
        <f>IF(ISNUMBER(BB15/BA15),BB15/BA15, " - ")</f>
        <v>1.9524739583333333</v>
      </c>
      <c r="BF15" s="127">
        <f>IF(ISNUMBER(BC15/BA15),BC15/BA15, " - ")</f>
        <v>0.1044921875</v>
      </c>
      <c r="BG15" s="196">
        <f t="shared" ref="BG15:BG16" si="10">IF(ISNUMBER((AY15+AZ15)/BA15),(AY15+AZ15)/BA15," - ")</f>
        <v>2.9313151041666665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247</v>
      </c>
      <c r="J17" s="183">
        <v>353</v>
      </c>
      <c r="K17" s="183">
        <v>338</v>
      </c>
      <c r="L17" s="183">
        <v>262</v>
      </c>
      <c r="M17" s="183">
        <v>43</v>
      </c>
      <c r="N17" s="183">
        <v>154</v>
      </c>
      <c r="O17" s="183">
        <v>0</v>
      </c>
      <c r="P17" s="183">
        <v>2</v>
      </c>
      <c r="Q17" s="183">
        <v>0</v>
      </c>
      <c r="R17" s="183">
        <v>11</v>
      </c>
      <c r="S17" s="183">
        <v>232</v>
      </c>
      <c r="T17" s="183">
        <v>324</v>
      </c>
      <c r="U17" s="183">
        <v>313</v>
      </c>
      <c r="V17" s="183">
        <v>243</v>
      </c>
      <c r="W17" s="183">
        <v>39</v>
      </c>
      <c r="X17" s="189">
        <v>142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232</v>
      </c>
      <c r="AZ17" s="129">
        <f t="shared" si="14"/>
        <v>324</v>
      </c>
      <c r="BA17" s="129">
        <f t="shared" si="14"/>
        <v>313</v>
      </c>
      <c r="BB17" s="129">
        <f t="shared" si="14"/>
        <v>243</v>
      </c>
      <c r="BC17" s="125">
        <f>IF(ISNUMBER(W17),W17," - ")</f>
        <v>39</v>
      </c>
      <c r="BD17" s="126">
        <f>IF(ISNUMBER(BA17/AZ17),BA17/AZ17," - ")</f>
        <v>0.96604938271604934</v>
      </c>
      <c r="BE17" s="127">
        <f>IF(ISNUMBER(BB17/BA17),BB17/BA17, " - ")</f>
        <v>0.77635782747603832</v>
      </c>
      <c r="BF17" s="127">
        <f>IF(ISNUMBER(BC17/BA17),BC17/BA17, " - ")</f>
        <v>0.12460063897763578</v>
      </c>
      <c r="BG17" s="196">
        <f>IF(ISNUMBER((AY17+AZ17)/BA17),(AY17+AZ17)/BA17," - ")</f>
        <v>1.7763578274760383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6437</v>
      </c>
      <c r="J18" s="184">
        <f t="shared" si="15"/>
        <v>3700</v>
      </c>
      <c r="K18" s="184">
        <f t="shared" si="15"/>
        <v>3606</v>
      </c>
      <c r="L18" s="184">
        <f t="shared" si="15"/>
        <v>6551</v>
      </c>
      <c r="M18" s="184">
        <f t="shared" si="15"/>
        <v>387</v>
      </c>
      <c r="N18" s="184">
        <f t="shared" si="15"/>
        <v>2401</v>
      </c>
      <c r="O18" s="184">
        <f t="shared" si="15"/>
        <v>64</v>
      </c>
      <c r="P18" s="184">
        <f t="shared" si="15"/>
        <v>133</v>
      </c>
      <c r="Q18" s="184">
        <f t="shared" si="15"/>
        <v>100</v>
      </c>
      <c r="R18" s="184">
        <f t="shared" si="15"/>
        <v>728</v>
      </c>
      <c r="S18" s="184">
        <f t="shared" si="15"/>
        <v>6045</v>
      </c>
      <c r="T18" s="184">
        <f t="shared" si="15"/>
        <v>3516</v>
      </c>
      <c r="U18" s="184">
        <f t="shared" si="15"/>
        <v>3385</v>
      </c>
      <c r="V18" s="184">
        <f t="shared" si="15"/>
        <v>6241</v>
      </c>
      <c r="W18" s="184">
        <f t="shared" si="15"/>
        <v>360</v>
      </c>
      <c r="X18" s="184">
        <f t="shared" si="15"/>
        <v>2047</v>
      </c>
      <c r="Y18" s="184">
        <f t="shared" si="15"/>
        <v>0</v>
      </c>
      <c r="Z18" s="184">
        <f t="shared" si="15"/>
        <v>0</v>
      </c>
      <c r="AA18" s="184">
        <f t="shared" si="15"/>
        <v>0</v>
      </c>
      <c r="AB18" s="184">
        <f t="shared" si="15"/>
        <v>0</v>
      </c>
      <c r="AC18" s="184">
        <f t="shared" si="15"/>
        <v>1</v>
      </c>
      <c r="AD18" s="184">
        <f t="shared" si="15"/>
        <v>69</v>
      </c>
      <c r="AE18" s="184">
        <f t="shared" si="15"/>
        <v>70</v>
      </c>
      <c r="AF18" s="184">
        <f t="shared" si="15"/>
        <v>0</v>
      </c>
      <c r="AG18" s="184">
        <f t="shared" si="15"/>
        <v>0</v>
      </c>
      <c r="AH18" s="184">
        <f t="shared" si="15"/>
        <v>0</v>
      </c>
      <c r="AI18" s="184">
        <f t="shared" si="15"/>
        <v>0</v>
      </c>
      <c r="AJ18" s="184">
        <f t="shared" si="15"/>
        <v>0</v>
      </c>
      <c r="AK18" s="184">
        <f t="shared" si="15"/>
        <v>0</v>
      </c>
      <c r="AL18" s="184">
        <f t="shared" si="15"/>
        <v>58</v>
      </c>
      <c r="AM18" s="184">
        <f t="shared" si="15"/>
        <v>58</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6045</v>
      </c>
      <c r="AZ18" s="184">
        <f>SUBTOTAL(9,AZ14:AZ17)</f>
        <v>3516</v>
      </c>
      <c r="BA18" s="184">
        <f>SUBTOTAL(9,BA14:BA17)</f>
        <v>3385</v>
      </c>
      <c r="BB18" s="184">
        <f>SUBTOTAL(9,BB14:BB17)</f>
        <v>6241</v>
      </c>
      <c r="BC18" s="184">
        <f>SUBTOTAL(9,BC14:BC17)</f>
        <v>360</v>
      </c>
      <c r="BD18" s="205">
        <f>IF(ISNUMBER(BA18/AZ18),BA18/AZ18," - ")</f>
        <v>0.96274175199089873</v>
      </c>
      <c r="BE18" s="206">
        <f>IF(ISNUMBER(BB18/BA18),BB18/BA18, " - ")</f>
        <v>1.8437223042836042</v>
      </c>
      <c r="BF18" s="206">
        <f>IF(ISNUMBER(BC18/BA18),BC18/BA18, " - ")</f>
        <v>0.10635155096011817</v>
      </c>
      <c r="BG18" s="207">
        <f>IF(ISNUMBER((AY18+AZ18)/BA18),(AY18+AZ18)/BA18," - ")</f>
        <v>2.8245199409158048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23194</v>
      </c>
      <c r="J19" s="134">
        <f t="shared" si="18"/>
        <v>6534</v>
      </c>
      <c r="K19" s="134">
        <f t="shared" si="18"/>
        <v>7500</v>
      </c>
      <c r="L19" s="134">
        <f t="shared" si="18"/>
        <v>22281</v>
      </c>
      <c r="M19" s="134">
        <f t="shared" si="18"/>
        <v>1210</v>
      </c>
      <c r="N19" s="134">
        <f t="shared" si="18"/>
        <v>4466</v>
      </c>
      <c r="O19" s="134">
        <f t="shared" si="18"/>
        <v>1848</v>
      </c>
      <c r="P19" s="134">
        <f t="shared" si="18"/>
        <v>714</v>
      </c>
      <c r="Q19" s="134">
        <f t="shared" si="18"/>
        <v>1148</v>
      </c>
      <c r="R19" s="134">
        <f t="shared" si="18"/>
        <v>18084</v>
      </c>
      <c r="S19" s="134">
        <f t="shared" si="18"/>
        <v>21316</v>
      </c>
      <c r="T19" s="134">
        <f t="shared" si="18"/>
        <v>6770</v>
      </c>
      <c r="U19" s="134">
        <f t="shared" si="18"/>
        <v>6396</v>
      </c>
      <c r="V19" s="134">
        <f t="shared" si="18"/>
        <v>21698</v>
      </c>
      <c r="W19" s="134">
        <f t="shared" si="18"/>
        <v>1098</v>
      </c>
      <c r="X19" s="134">
        <f t="shared" si="18"/>
        <v>3614</v>
      </c>
      <c r="Y19" s="134">
        <f t="shared" si="18"/>
        <v>352</v>
      </c>
      <c r="Z19" s="134">
        <f t="shared" si="18"/>
        <v>263</v>
      </c>
      <c r="AA19" s="134">
        <f t="shared" si="18"/>
        <v>307</v>
      </c>
      <c r="AB19" s="134">
        <f t="shared" si="18"/>
        <v>267</v>
      </c>
      <c r="AC19" s="134">
        <f t="shared" si="18"/>
        <v>1</v>
      </c>
      <c r="AD19" s="134">
        <f t="shared" si="18"/>
        <v>69</v>
      </c>
      <c r="AE19" s="134">
        <f t="shared" si="18"/>
        <v>70</v>
      </c>
      <c r="AF19" s="134">
        <f t="shared" si="18"/>
        <v>0</v>
      </c>
      <c r="AG19" s="134">
        <f t="shared" si="18"/>
        <v>455</v>
      </c>
      <c r="AH19" s="134">
        <f t="shared" si="18"/>
        <v>286</v>
      </c>
      <c r="AI19" s="134">
        <f t="shared" si="18"/>
        <v>336</v>
      </c>
      <c r="AJ19" s="134">
        <f t="shared" si="18"/>
        <v>405</v>
      </c>
      <c r="AK19" s="134">
        <f t="shared" si="18"/>
        <v>0</v>
      </c>
      <c r="AL19" s="134">
        <f t="shared" si="18"/>
        <v>58</v>
      </c>
      <c r="AM19" s="134">
        <f t="shared" si="18"/>
        <v>58</v>
      </c>
      <c r="AN19" s="210">
        <f t="shared" si="18"/>
        <v>0</v>
      </c>
      <c r="AO19" s="211">
        <v>16</v>
      </c>
      <c r="AP19" s="211">
        <v>16</v>
      </c>
      <c r="AQ19" s="211">
        <v>16</v>
      </c>
      <c r="AR19" s="211">
        <v>16</v>
      </c>
      <c r="AS19" s="153">
        <f t="shared" si="18"/>
        <v>0</v>
      </c>
      <c r="AT19" s="153">
        <f t="shared" si="18"/>
        <v>0</v>
      </c>
      <c r="AU19" s="211"/>
      <c r="AV19" s="212"/>
      <c r="AW19" s="211"/>
      <c r="AX19" s="212"/>
      <c r="AY19" s="133">
        <f>SUBTOTAL(9,AY9:AY18)</f>
        <v>21771</v>
      </c>
      <c r="AZ19" s="134">
        <f>SUBTOTAL(9,AZ9:AZ18)</f>
        <v>7056</v>
      </c>
      <c r="BA19" s="134">
        <f>SUBTOTAL(9,BA9:BA18)</f>
        <v>6732</v>
      </c>
      <c r="BB19" s="134">
        <f>SUBTOTAL(9,BB9:BB18)</f>
        <v>22103</v>
      </c>
      <c r="BC19" s="135">
        <f>SUBTOTAL(9,BC9:BC18)</f>
        <v>1929</v>
      </c>
      <c r="BD19" s="213">
        <f>IF(ISNUMBER(BA19/AZ19),BA19/AZ19," - ")</f>
        <v>0.95408163265306123</v>
      </c>
      <c r="BE19" s="210">
        <f>IF(ISNUMBER(BB19/BA19),BB19/BA19, " - ")</f>
        <v>3.2832739156268569</v>
      </c>
      <c r="BF19" s="210">
        <f>IF(ISNUMBER(BC19/BA19),BC19/BA19, " - ")</f>
        <v>0.28654188948306597</v>
      </c>
      <c r="BG19" s="135">
        <f>IF(ISNUMBER((AY19+AZ19)/BA19),(AY19+AZ19)/BA19," - ")</f>
        <v>4.2820855614973263</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h7W+rF3/LDsrwD77hvfzGKtz0EGs8x+RiiFhJEDsZHyx7mDaQynhVbX7WNhhrHENdaMAevdt+NNAUGUMVGdRg==" saltValue="/7HpdjyVVMfARXsNM7We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bAeHGp1bxL4ioN9mnf9ZtqLUXrTQ4rsWBjnDQ7SaxwwostFjguHVOT9MOnXb6288tsj9prAVC05LYPceByqMQ==" saltValue="ut0anogz4hKvyVpKILh0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SABADELL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74</v>
      </c>
      <c r="O9" s="334"/>
      <c r="P9" s="334"/>
      <c r="Q9" s="226">
        <f>IF(ISNUMBER(Datos!P9),Datos!P9,0)</f>
        <v>528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987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207</v>
      </c>
      <c r="AI9" s="334" t="str">
        <f>IF(ISNUMBER(Datos!CD9),Datos!CD9,"-")</f>
        <v>-</v>
      </c>
      <c r="AJ9" s="334" t="str">
        <f>IF(ISNUMBER(Datos!EN9),Datos!EN9," - ")</f>
        <v xml:space="preserve"> - </v>
      </c>
      <c r="AK9" s="334"/>
      <c r="AL9" s="479"/>
      <c r="AM9" s="335">
        <f>IF(ISNUMBER(Datos!R9),Datos!R9," - ")</f>
        <v>16387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656</v>
      </c>
      <c r="BD9" s="229">
        <f>IF(ISNUMBER(Datos!N9),Datos!N9," - ")</f>
        <v>1680</v>
      </c>
      <c r="BE9" s="229" t="str">
        <f>IF(ISNUMBER(Datos!BW9),Datos!BW9," - ")</f>
        <v xml:space="preserve"> - </v>
      </c>
      <c r="BF9" s="228" t="str">
        <f>IF(ISNUMBER(Datos!BX9),Datos!BX9," - ")</f>
        <v xml:space="preserve"> - </v>
      </c>
      <c r="BG9" s="243">
        <f>IF(ISNUMBER(IF(J_V="SI",Datos!K9/Datos!J9,(Datos!K9+Datos!AA9)/(Datos!J9+Datos!Z9))),IF(J_V="SI",Datos!K9/Datos!J9,(Datos!K9+Datos!AA9)/(Datos!J9+Datos!Z9))," - ")</f>
        <v>1.4305555555555556</v>
      </c>
      <c r="BH9" s="260">
        <f>IF(ISNUMBER(((IF(J_V="SI",Datos!L9/Datos!K9,(Datos!L9+Datos!AB9)/(Datos!K9+Datos!AA9)))*11)/factor_trimestre),((IF(J_V="SI",Datos!L9/Datos!K9,(Datos!L9+Datos!AB9)/(Datos!K9+Datos!AA9)))*11)/factor_trimestre," - ")</f>
        <v>8.1575589459084608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-2.7246824171910246E-2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142</v>
      </c>
      <c r="G10" s="333">
        <f>IF(ISNUMBER(Datos!I10),Datos!I10," - ")</f>
        <v>142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1</v>
      </c>
      <c r="AD10" s="334"/>
      <c r="AE10" s="484"/>
      <c r="AF10" s="332">
        <f>IF(ISNUMBER(Datos!L10),Datos!L10,"-")</f>
        <v>142</v>
      </c>
      <c r="AG10" s="334"/>
      <c r="AH10" s="334"/>
      <c r="AI10" s="334"/>
      <c r="AJ10" s="334"/>
      <c r="AK10" s="334"/>
      <c r="AL10" s="479"/>
      <c r="AM10" s="335">
        <f>IF(ISNUMBER(Datos!R10),Datos!R10," - ")</f>
        <v>163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7</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9.1612903225806459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4.4871794871794872E-2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189</v>
      </c>
      <c r="O11" s="334"/>
      <c r="P11" s="334"/>
      <c r="Q11" s="226">
        <f>IF(ISNUMBER(Datos!P11),Datos!P11,0)</f>
        <v>45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60</v>
      </c>
      <c r="AD11" s="334"/>
      <c r="AE11" s="484"/>
      <c r="AF11" s="332" t="str">
        <f>IF(ISNUMBER(IF(J_V="SI",Datos!L11,Datos!L11+Datos!AB11)-IF(Monitorios="SI",Datos!CD11,0)),
                          IF(J_V="SI",Datos!L11,Datos!L11+Datos!AB11)-IF(Monitorios="SI",Datos!CD11,0),
                          " - ")</f>
        <v xml:space="preserve"> - </v>
      </c>
      <c r="AG11" s="334"/>
      <c r="AH11" s="334">
        <f>IF(ISNUMBER(Datos!AB11),Datos!AB11,"-")</f>
        <v>60</v>
      </c>
      <c r="AI11" s="334"/>
      <c r="AJ11" s="334"/>
      <c r="AK11" s="334"/>
      <c r="AL11" s="479"/>
      <c r="AM11" s="335">
        <f>IF(ISNUMBER(Datos!R11),Datos!R11," - ")</f>
        <v>806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146</v>
      </c>
      <c r="BD11" s="229">
        <f>IF(ISNUMBER(Datos!N11),Datos!N11," - ")</f>
        <v>378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1.0347985347985349</v>
      </c>
      <c r="BH11" s="260">
        <f>IF(ISNUMBER(((IF(J_V="SI",Datos!L11/Datos!K11,(Datos!L11+Datos!AB11)/(Datos!K11+Datos!AA11)))*11)/factor_trimestre),((IF(J_V="SI",Datos!L11/Datos!K11,(Datos!L11+Datos!AB11)/(Datos!K11+Datos!AA11)))*11)/factor_trimestre," - ")</f>
        <v>4.0743362831858407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-1.8270401948842874E-2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11</v>
      </c>
      <c r="F13" s="898">
        <f t="shared" si="0"/>
        <v>142</v>
      </c>
      <c r="G13" s="898">
        <f t="shared" si="0"/>
        <v>142</v>
      </c>
      <c r="H13" s="899">
        <f t="shared" si="0"/>
        <v>0</v>
      </c>
      <c r="I13" s="898">
        <f t="shared" si="0"/>
        <v>0</v>
      </c>
      <c r="J13" s="867">
        <f t="shared" si="0"/>
        <v>0</v>
      </c>
      <c r="K13" s="867">
        <f t="shared" si="0"/>
        <v>0</v>
      </c>
      <c r="L13" s="899">
        <f t="shared" si="0"/>
        <v>0</v>
      </c>
      <c r="M13" s="899">
        <f t="shared" si="0"/>
        <v>0</v>
      </c>
      <c r="N13" s="899">
        <f t="shared" si="0"/>
        <v>263</v>
      </c>
      <c r="O13" s="900">
        <f t="shared" si="0"/>
        <v>0</v>
      </c>
      <c r="P13" s="900">
        <f t="shared" si="0"/>
        <v>0</v>
      </c>
      <c r="Q13" s="899">
        <f t="shared" si="0"/>
        <v>581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1048</v>
      </c>
      <c r="AD13" s="899">
        <f t="shared" si="1"/>
        <v>0</v>
      </c>
      <c r="AE13" s="899">
        <f t="shared" si="1"/>
        <v>0</v>
      </c>
      <c r="AF13" s="899">
        <f t="shared" si="1"/>
        <v>142</v>
      </c>
      <c r="AG13" s="899">
        <f t="shared" si="1"/>
        <v>0</v>
      </c>
      <c r="AH13" s="899">
        <f t="shared" si="1"/>
        <v>267</v>
      </c>
      <c r="AI13" s="899">
        <f t="shared" si="1"/>
        <v>0</v>
      </c>
      <c r="AJ13" s="899">
        <f t="shared" si="1"/>
        <v>0</v>
      </c>
      <c r="AK13" s="899">
        <f t="shared" si="1"/>
        <v>0</v>
      </c>
      <c r="AL13" s="899">
        <f t="shared" si="1"/>
        <v>0</v>
      </c>
      <c r="AM13" s="899">
        <f t="shared" si="1"/>
        <v>17356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823</v>
      </c>
      <c r="BD13" s="899">
        <f t="shared" si="1"/>
        <v>2065</v>
      </c>
      <c r="BE13" s="899">
        <f t="shared" si="1"/>
        <v>0</v>
      </c>
      <c r="BF13" s="899">
        <f t="shared" si="1"/>
        <v>0</v>
      </c>
      <c r="BG13" s="899">
        <f>IF(ISNUMBER(Datos!K13/Datos!J13),Datos!K13/Datos!J13," - ")</f>
        <v>1.3740296400846859</v>
      </c>
      <c r="BH13" s="903">
        <f>IF(ISNUMBER(((Datos!L13/Datos!K13)*11)/factor_trimestre),((Datos!L13/Datos!K13)*11)/factor_trimestre," - ")</f>
        <v>8.0790960451977405</v>
      </c>
      <c r="BI13" s="899">
        <f>IF(ISNUMBER('Resol  Asuntos'!D13/NºAsuntos!G13),'Resol  Asuntos'!D13/NºAsuntos!G13," - ")</f>
        <v>0.19590573672935016</v>
      </c>
      <c r="BJ13" s="899" t="str">
        <f>IF(ISNUMBER(Datos!CI13/Datos!CJ13),Datos!CI13/Datos!CJ13," - ")</f>
        <v xml:space="preserve"> - </v>
      </c>
      <c r="BK13" s="899">
        <f>SUBTOTAL(9,BK8:BK12)</f>
        <v>0</v>
      </c>
      <c r="BL13" s="899">
        <f>IF(ISNUMBER((I13-AB13+L13)/(F13)),(I13-AB13+L13)/(F13)," - ")</f>
        <v>-0.21830985915492956</v>
      </c>
      <c r="BM13" s="904">
        <f>SUBTOTAL(9,BM9:BM12)</f>
        <v>-6.4543124895824824E-4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6210</v>
      </c>
      <c r="G15" s="598">
        <f>IF(ISNUMBER(IF(D_I="SI",Datos!I15,Datos!I15+Datos!AC15)),IF(D_I="SI",Datos!I15,Datos!I15+Datos!AC15)," - ")</f>
        <v>6190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3268</v>
      </c>
      <c r="AC15" s="226">
        <f>IF(ISNUMBER(Datos!Q15),Datos!Q15," - ")</f>
        <v>100</v>
      </c>
      <c r="AD15" s="334"/>
      <c r="AE15" s="484"/>
      <c r="AF15" s="596">
        <f>IF(ISNUMBER(IF(D_I="SI",Datos!L15,Datos!L15+Datos!AF15)),IF(D_I="SI",Datos!L15,Datos!L15+Datos!AF15)," - ")</f>
        <v>6289</v>
      </c>
      <c r="AG15" s="334"/>
      <c r="AH15" s="334"/>
      <c r="AI15" s="334"/>
      <c r="AJ15" s="334"/>
      <c r="AK15" s="334"/>
      <c r="AL15" s="479"/>
      <c r="AM15" s="335">
        <f>IF(ISNUMBER(Datos!R15),Datos!R15," - ")</f>
        <v>717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344</v>
      </c>
      <c r="BD15" s="229">
        <f>IF(ISNUMBER(Datos!N15),Datos!N15," - ")</f>
        <v>2247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0.97639677322975804</v>
      </c>
      <c r="BH15" s="260">
        <f>IF(ISNUMBER(((IF(D_I="SI",Datos!L15/Datos!K15,(Datos!L15+Datos!AF15)/(Datos!K15+Datos!AE15)))*11)/factor_trimestre),((IF(D_I="SI",Datos!L15/Datos!K15,(Datos!L15+Datos!AF15)/(Datos!K15+Datos!AE15)))*11)/factor_trimestre," - ")</f>
        <v>3.8488372093023258</v>
      </c>
      <c r="BI15" s="243">
        <f>IF(ISNUMBER('Resol  Asuntos'!D15/NºAsuntos!G15),'Resol  Asuntos'!D15/NºAsuntos!G15," - ")</f>
        <v>0.10526315789473684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338</v>
      </c>
      <c r="AC17" s="226">
        <f>IF(ISNUMBER(Datos!Q17),Datos!Q17," - ")</f>
        <v>0</v>
      </c>
      <c r="AD17" s="334"/>
      <c r="AE17" s="484"/>
      <c r="AF17" s="332">
        <f>IF(ISNUMBER(Datos!L17),Datos!L17,"-")</f>
        <v>262</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43</v>
      </c>
      <c r="BD17" s="229">
        <f>IF(ISNUMBER(Datos!N17),Datos!N17," - ")</f>
        <v>154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0.95750708215297453</v>
      </c>
      <c r="BH17" s="260">
        <f>IF(ISNUMBER(((IF(D_I="SI",Datos!L17/Datos!K17,(Datos!L17+Datos!AF17)/(Datos!K17+Datos!AE17)))*11)/factor_trimestre),((IF(D_I="SI",Datos!L17/Datos!K17,(Datos!L17+Datos!AF17)/(Datos!K17+Datos!AE17)))*11)/factor_trimestre," - ")</f>
        <v>1.5502958579881656</v>
      </c>
      <c r="BI17" s="243">
        <f>IF(ISNUMBER('Resol  Asuntos'!D17/NºAsuntos!G17),'Resol  Asuntos'!D17/NºAsuntos!G17," - ")</f>
        <v>0.12721893491124261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6210</v>
      </c>
      <c r="G18" s="898">
        <f>SUBTOTAL(9,G15:G17)</f>
        <v>6437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3606</v>
      </c>
      <c r="AC18" s="899">
        <f t="shared" si="4"/>
        <v>100</v>
      </c>
      <c r="AD18" s="899">
        <f t="shared" si="4"/>
        <v>0</v>
      </c>
      <c r="AE18" s="899">
        <f t="shared" si="4"/>
        <v>0</v>
      </c>
      <c r="AF18" s="899">
        <f t="shared" si="4"/>
        <v>6551</v>
      </c>
      <c r="AG18" s="899">
        <f t="shared" si="4"/>
        <v>0</v>
      </c>
      <c r="AH18" s="899">
        <f t="shared" si="4"/>
        <v>0</v>
      </c>
      <c r="AI18" s="899">
        <f t="shared" si="4"/>
        <v>0</v>
      </c>
      <c r="AJ18" s="899">
        <f t="shared" si="4"/>
        <v>0</v>
      </c>
      <c r="AK18" s="899">
        <f t="shared" si="4"/>
        <v>0</v>
      </c>
      <c r="AL18" s="899">
        <f t="shared" si="4"/>
        <v>0</v>
      </c>
      <c r="AM18" s="899">
        <f t="shared" si="4"/>
        <v>728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387</v>
      </c>
      <c r="BD18" s="899">
        <f t="shared" si="4"/>
        <v>2401</v>
      </c>
      <c r="BE18" s="899">
        <f t="shared" si="4"/>
        <v>0</v>
      </c>
      <c r="BF18" s="899">
        <f t="shared" si="4"/>
        <v>0</v>
      </c>
      <c r="BG18" s="899">
        <f>IF(ISNUMBER(Datos!K18/Datos!J18),Datos!K18/Datos!J18," - ")</f>
        <v>0.97459459459459463</v>
      </c>
      <c r="BH18" s="903">
        <f>IF(ISNUMBER(((Datos!L18/Datos!K18)*11)/factor_trimestre),((Datos!L18/Datos!K18)*11)/factor_trimestre," - ")</f>
        <v>3.6333887964503604</v>
      </c>
      <c r="BI18" s="899">
        <f>SUBTOTAL(9,BI15:BI17)</f>
        <v>0.23248209280597945</v>
      </c>
      <c r="BJ18" s="899">
        <f>SUBTOTAL(9,BJ15:BJ17)</f>
        <v>0</v>
      </c>
      <c r="BK18" s="899">
        <f>SUBTOTAL(9,BK15:BK17)</f>
        <v>0</v>
      </c>
      <c r="BL18" s="899">
        <f>IF(ISNUMBER((I18-AB18+L18)/(F18)),(I18-AB18+L18)/(F18)," - ")</f>
        <v>-0.58067632850241546</v>
      </c>
      <c r="BM18" s="905">
        <f>IF(ISNUMBER((Datos!P18-Datos!Q18)/(Datos!R18-Datos!P18+Datos!Q18)),(Datos!P18-Datos!Q18)/(Datos!R18-Datos!P18+Datos!Q18)," - ")</f>
        <v>4.7482014388489209E-2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17</v>
      </c>
      <c r="F19" s="820">
        <f t="shared" si="6"/>
        <v>6352</v>
      </c>
      <c r="G19" s="820">
        <f t="shared" si="6"/>
        <v>6579</v>
      </c>
      <c r="H19" s="822">
        <f t="shared" si="6"/>
        <v>0</v>
      </c>
      <c r="I19" s="820">
        <f t="shared" si="6"/>
        <v>0</v>
      </c>
      <c r="J19" s="822">
        <f t="shared" si="6"/>
        <v>0</v>
      </c>
      <c r="K19" s="822">
        <f t="shared" si="6"/>
        <v>0</v>
      </c>
      <c r="L19" s="881">
        <f t="shared" si="6"/>
        <v>0</v>
      </c>
      <c r="M19" s="881">
        <f t="shared" si="6"/>
        <v>0</v>
      </c>
      <c r="N19" s="881">
        <f t="shared" si="6"/>
        <v>263</v>
      </c>
      <c r="O19" s="881">
        <f t="shared" si="6"/>
        <v>0</v>
      </c>
      <c r="P19" s="881">
        <f t="shared" si="6"/>
        <v>0</v>
      </c>
      <c r="Q19" s="822">
        <f t="shared" si="6"/>
        <v>714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3637</v>
      </c>
      <c r="AC19" s="821">
        <f t="shared" si="7"/>
        <v>1148</v>
      </c>
      <c r="AD19" s="821">
        <f t="shared" si="7"/>
        <v>0</v>
      </c>
      <c r="AE19" s="821">
        <f t="shared" si="7"/>
        <v>0</v>
      </c>
      <c r="AF19" s="828">
        <f t="shared" si="7"/>
        <v>6693</v>
      </c>
      <c r="AG19" s="828">
        <f t="shared" si="7"/>
        <v>0</v>
      </c>
      <c r="AH19" s="828">
        <f t="shared" si="7"/>
        <v>267</v>
      </c>
      <c r="AI19" s="828">
        <f t="shared" si="7"/>
        <v>0</v>
      </c>
      <c r="AJ19" s="821">
        <f t="shared" si="7"/>
        <v>0</v>
      </c>
      <c r="AK19" s="828">
        <f t="shared" si="7"/>
        <v>0</v>
      </c>
      <c r="AL19" s="828">
        <f t="shared" si="7"/>
        <v>0</v>
      </c>
      <c r="AM19" s="828">
        <f t="shared" si="7"/>
        <v>18084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1210</v>
      </c>
      <c r="BD19" s="820">
        <f t="shared" si="7"/>
        <v>4466</v>
      </c>
      <c r="BE19" s="820">
        <f t="shared" si="7"/>
        <v>0</v>
      </c>
      <c r="BF19" s="830">
        <f t="shared" si="7"/>
        <v>0</v>
      </c>
      <c r="BG19" s="915">
        <f>IF(ISNUMBER(Datos!K19/Datos!J19),Datos!K19/Datos!J19," - ")</f>
        <v>1.1478420569329659</v>
      </c>
      <c r="BH19" s="915">
        <f>IF(ISNUMBER(((Datos!L19/Datos!K19)*11)/factor_trimestre),((Datos!L19/Datos!K19)*11)/factor_trimestre," - ")</f>
        <v>5.9416000000000002</v>
      </c>
      <c r="BI19" s="813">
        <f>IF(ISNUMBER(Datos!J19/Datos!I19),Datos!J19/Datos!I19," - ")</f>
        <v>0.28171078727257048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-0.57257556675062971</v>
      </c>
      <c r="BM19" s="889">
        <f>IF(ISNUMBER((Datos!P19-Datos!Q19+R19)/(Datos!R19-Datos!P19+Datos!Q19-R19)),(Datos!P19-Datos!Q19+R19)/(Datos!R19-Datos!P19+Datos!Q19-R19)," - ")</f>
        <v>-2.343665622637434E-2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2631.6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3.9299420408505319</v>
      </c>
      <c r="F21" s="551">
        <f>IF(ISNUMBER(STDEV(F8:F18)),STDEV(F8:F18),"-")</f>
        <v>3503.3614334426493</v>
      </c>
      <c r="G21" s="552">
        <f>IF(ISNUMBER(STDEV(G8:G18)),STDEV(G8:G18),"-")</f>
        <v>3362.5069962752495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1817.7603527418019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306.25355197162708</v>
      </c>
      <c r="BD21" s="551"/>
      <c r="BE21" s="551">
        <f>IF(ISNUMBER(STDEV(BE8:BE18)),STDEV(BE8:BE18),"-")</f>
        <v>0</v>
      </c>
      <c r="BF21" s="556">
        <f>IF(ISNUMBER(STDEV(BF8:BF18)),STDEV(BF8:BF18),"-")</f>
        <v>0</v>
      </c>
      <c r="BG21" s="775">
        <f>IF(ISNUMBER(STDEV(BG8:BG18)),STDEV(BG8:BG18),"-")</f>
        <v>0.2039572773886319</v>
      </c>
      <c r="BH21" s="776">
        <f>IF(ISNUMBER(STDEV(BH8:BH18)),STDEV(BH8:BH18),"-")</f>
        <v>2.9144083241956809</v>
      </c>
      <c r="BI21" s="249">
        <f>IF(ISNUMBER(STDEV(BI8:BI18)),STDEV(BI8:BI18),"-")</f>
        <v>5.9174057956137116E-2</v>
      </c>
      <c r="BJ21" s="230" t="str">
        <f>IF(ISNUMBER(BL21/BM21),BL21/BM21," - ")</f>
        <v xml:space="preserve"> - </v>
      </c>
      <c r="BK21" s="575"/>
      <c r="BL21" s="559">
        <f>IF(ISNUMBER(STDEV(BL8:BL18)),STDEV(BL8:BL18),"-")</f>
        <v>0.25623178775023453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Dx6/CfpI4nLkVh+HPmeRuX2ZPOddYqbaa7WD/AgygK6+/Zt2g6cMacBgQK5N/wnie++qakAKqll+zdjcsfHpA==" saltValue="A+L1RnB2xgW0HoLe7sVv1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SABADELL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528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987</v>
      </c>
      <c r="AA9" s="332" t="str">
        <f>IF(ISNUMBER(IF(J_V="SI",Datos!L9,Datos!L9+Datos!AB9)-IF(Monitorios="SI",Datos!CD9,0)),
                          IF(J_V="SI",Datos!L9,Datos!L9+Datos!AB9)-IF(Monitorios="SI",Datos!CD9,0),
                          " - ")</f>
        <v xml:space="preserve"> - </v>
      </c>
      <c r="AB9" s="334"/>
      <c r="AC9" s="334"/>
      <c r="AD9" s="484"/>
      <c r="AE9" s="484">
        <f>IF(ISNUMBER(Datos!R9),Datos!R9," - ")</f>
        <v>16387</v>
      </c>
      <c r="AF9" s="229" t="str">
        <f>IF(ISNUMBER(Datos!BV9),Datos!BV9," - ")</f>
        <v xml:space="preserve"> - </v>
      </c>
      <c r="AG9" s="225" t="str">
        <f>IF(ISNUMBER(Datos!DV9),Datos!DV9," - ")</f>
        <v xml:space="preserve"> - </v>
      </c>
      <c r="AH9" s="298"/>
      <c r="AI9" s="227"/>
      <c r="AJ9" s="225">
        <f>IF(ISNUMBER(Datos!M9),Datos!M9," - ")</f>
        <v>656</v>
      </c>
      <c r="AK9" s="229">
        <f>IF(ISNUMBER(Datos!N9),Datos!N9," - ")</f>
        <v>1680</v>
      </c>
      <c r="AL9" s="229" t="str">
        <f>IF(ISNUMBER(Datos!BW9),Datos!BW9," - ")</f>
        <v xml:space="preserve"> - </v>
      </c>
      <c r="AM9" s="228" t="str">
        <f>IF(ISNUMBER(Datos!BX9),Datos!BX9," - ")</f>
        <v xml:space="preserve"> - </v>
      </c>
      <c r="AN9" s="243"/>
      <c r="AO9" s="260">
        <f>IF(ISNUMBER(((NºAsuntos!I9/NºAsuntos!G9)*11)/factor_trimestre),((NºAsuntos!I9/NºAsuntos!G9)*11)/factor_trimestre," - ")</f>
        <v>8.1575589459084608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-2.7246824171910246E-2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142</v>
      </c>
      <c r="G10" s="225">
        <f>IF(ISNUMBER(Datos!I10),Datos!I10," - ")</f>
        <v>142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1</v>
      </c>
      <c r="AA10" s="332">
        <f>IF(ISNUMBER(Datos!L10),Datos!L10,"-")</f>
        <v>142</v>
      </c>
      <c r="AB10" s="334"/>
      <c r="AC10" s="334"/>
      <c r="AD10" s="484"/>
      <c r="AE10" s="484">
        <f>IF(ISNUMBER(Datos!R10),Datos!R10," - ")</f>
        <v>163</v>
      </c>
      <c r="AF10" s="229" t="str">
        <f>IF(ISNUMBER(Datos!BV10),Datos!BV10," - ")</f>
        <v xml:space="preserve"> - </v>
      </c>
      <c r="AG10" s="225" t="str">
        <f>IF(ISNUMBER(Datos!DV10),Datos!DV10," - ")</f>
        <v xml:space="preserve"> - </v>
      </c>
      <c r="AH10" s="298"/>
      <c r="AI10" s="227"/>
      <c r="AJ10" s="225">
        <f>IF(ISNUMBER(Datos!M10),Datos!M10," - ")</f>
        <v>21</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9.1612903225806459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4.4871794871794872E-2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60</v>
      </c>
      <c r="AA11" s="332" t="str">
        <f>IF(ISNUMBER(IF(J_V="SI",Datos!L11,Datos!L11+Datos!AB11)-IF(Monitorios="SI",Datos!CD11,0)),
                          IF(J_V="SI",Datos!L11,Datos!L11+Datos!AB11)-IF(Monitorios="SI",Datos!CD11,0),
                          " - ")</f>
        <v xml:space="preserve"> - </v>
      </c>
      <c r="AB11" s="334"/>
      <c r="AC11" s="334"/>
      <c r="AD11" s="484"/>
      <c r="AE11" s="484">
        <f>IF(ISNUMBER(Datos!R11),Datos!R11," - ")</f>
        <v>806</v>
      </c>
      <c r="AF11" s="229" t="str">
        <f>IF(ISNUMBER(Datos!BV11),Datos!BV11," - ")</f>
        <v xml:space="preserve"> - </v>
      </c>
      <c r="AG11" s="225" t="str">
        <f>IF(ISNUMBER(Datos!DV11),Datos!DV11," - ")</f>
        <v xml:space="preserve"> - </v>
      </c>
      <c r="AH11" s="298"/>
      <c r="AI11" s="227"/>
      <c r="AJ11" s="225">
        <f>IF(ISNUMBER(Datos!M11),Datos!M11," - ")</f>
        <v>146</v>
      </c>
      <c r="AK11" s="229">
        <f>IF(ISNUMBER(Datos!N11),Datos!N11," - ")</f>
        <v>378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4.0743362831858407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-1.8270401948842874E-2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11</v>
      </c>
      <c r="F13" s="898">
        <f>SUBTOTAL(9,F8:F12)</f>
        <v>142</v>
      </c>
      <c r="G13" s="898">
        <f>SUBTOTAL(9,G8:G12)</f>
        <v>142</v>
      </c>
      <c r="H13" s="908"/>
      <c r="I13" s="898">
        <f t="shared" ref="I13:N13" si="0">SUBTOTAL(9,I8:I12)</f>
        <v>0</v>
      </c>
      <c r="J13" s="867">
        <f t="shared" si="0"/>
        <v>0</v>
      </c>
      <c r="K13" s="908">
        <f t="shared" si="0"/>
        <v>0</v>
      </c>
      <c r="L13" s="908">
        <f t="shared" si="0"/>
        <v>0</v>
      </c>
      <c r="M13" s="908">
        <f t="shared" si="0"/>
        <v>0</v>
      </c>
      <c r="N13" s="908">
        <f t="shared" si="0"/>
        <v>581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1048</v>
      </c>
      <c r="AA13" s="900">
        <f t="shared" si="2"/>
        <v>142</v>
      </c>
      <c r="AB13" s="900">
        <f t="shared" si="2"/>
        <v>0</v>
      </c>
      <c r="AC13" s="900">
        <f t="shared" si="2"/>
        <v>0</v>
      </c>
      <c r="AD13" s="900">
        <f t="shared" si="2"/>
        <v>0</v>
      </c>
      <c r="AE13" s="900">
        <f t="shared" si="2"/>
        <v>17356</v>
      </c>
      <c r="AF13" s="908">
        <f t="shared" si="2"/>
        <v>0</v>
      </c>
      <c r="AG13" s="908">
        <f t="shared" si="2"/>
        <v>0</v>
      </c>
      <c r="AH13" s="908">
        <f t="shared" si="2"/>
        <v>0</v>
      </c>
      <c r="AI13" s="908">
        <f t="shared" si="2"/>
        <v>0</v>
      </c>
      <c r="AJ13" s="908">
        <f t="shared" si="2"/>
        <v>823</v>
      </c>
      <c r="AK13" s="908">
        <f t="shared" si="2"/>
        <v>2065</v>
      </c>
      <c r="AL13" s="908">
        <f t="shared" si="2"/>
        <v>0</v>
      </c>
      <c r="AM13" s="908">
        <f t="shared" si="2"/>
        <v>0</v>
      </c>
      <c r="AN13" s="908">
        <f t="shared" si="2"/>
        <v>0</v>
      </c>
      <c r="AO13" s="904">
        <f>IF(ISNUMBER(((NºAsuntos!I13/NºAsuntos!G13)*11)/factor_trimestre),((NºAsuntos!I13/NºAsuntos!G13)*11)/factor_trimestre," - ")</f>
        <v>7.6158057605332061</v>
      </c>
      <c r="AP13" s="910" t="str">
        <f>IF(ISNUMBER(Datos!CI13/Datos!CJ13),Datos!CI13/Datos!CJ13," - ")</f>
        <v xml:space="preserve"> - </v>
      </c>
      <c r="AQ13" s="928">
        <f t="shared" ref="AQ13:AV13" si="3">SUBTOTAL(9,AQ9:AQ12)</f>
        <v>0</v>
      </c>
      <c r="AR13" s="928">
        <f t="shared" si="3"/>
        <v>-6.4543124895824824E-4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6210</v>
      </c>
      <c r="G15" s="225">
        <f>IF(ISNUMBER(IF(D_I="SI",Datos!I15,Datos!I15+Datos!AC15)),IF(D_I="SI",Datos!I15,Datos!I15+Datos!AC15)," - ")</f>
        <v>6190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3268</v>
      </c>
      <c r="Z15" s="619">
        <f>IF(ISNUMBER(Datos!Q15),Datos!Q15," - ")</f>
        <v>100</v>
      </c>
      <c r="AA15" s="332">
        <f>IF(ISNUMBER(IF(D_I="SI",Datos!L15,Datos!L15+Datos!AF15)),IF(D_I="SI",Datos!L15,Datos!L15+Datos!AF15)," - ")</f>
        <v>6289</v>
      </c>
      <c r="AB15" s="334"/>
      <c r="AC15" s="334"/>
      <c r="AD15" s="484"/>
      <c r="AE15" s="484">
        <f>IF(ISNUMBER(Datos!R15),Datos!R15," - ")</f>
        <v>717</v>
      </c>
      <c r="AF15" s="229" t="str">
        <f>IF(ISNUMBER(Datos!BV15),Datos!BV15," - ")</f>
        <v xml:space="preserve"> - </v>
      </c>
      <c r="AG15" s="225"/>
      <c r="AH15" s="298"/>
      <c r="AI15" s="227"/>
      <c r="AJ15" s="225">
        <f>IF(ISNUMBER(Datos!M15),Datos!M15," - ")</f>
        <v>344</v>
      </c>
      <c r="AK15" s="229">
        <f>IF(ISNUMBER(Datos!N15),Datos!N15," - ")</f>
        <v>2247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3.8488372093023258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338</v>
      </c>
      <c r="Z17" s="619">
        <f>IF(ISNUMBER(Datos!Q17),Datos!Q17," - ")</f>
        <v>0</v>
      </c>
      <c r="AA17" s="332">
        <f>IF(ISNUMBER(Datos!L17),Datos!L17,"-")</f>
        <v>262</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43</v>
      </c>
      <c r="AK17" s="229">
        <f>IF(ISNUMBER(Datos!N17),Datos!N17," - ")</f>
        <v>154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1.5502958579881656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6210</v>
      </c>
      <c r="G18" s="898">
        <f>SUBTOTAL(9,G15:G17)</f>
        <v>6437</v>
      </c>
      <c r="H18" s="932">
        <f>SUBTOTAL(9,H15:H17)</f>
        <v>0</v>
      </c>
      <c r="I18" s="911">
        <f>SUBTOTAL(9,I15:I17)</f>
        <v>0</v>
      </c>
      <c r="J18" s="867">
        <f>SUBTOTAL(9,J14:J17)</f>
        <v>0</v>
      </c>
      <c r="K18" s="932">
        <f t="shared" ref="K18:S18" si="4">SUBTOTAL(9,K15:K17)</f>
        <v>0</v>
      </c>
      <c r="L18" s="932">
        <f t="shared" si="4"/>
        <v>0</v>
      </c>
      <c r="M18" s="932">
        <f t="shared" si="4"/>
        <v>0</v>
      </c>
      <c r="N18" s="932">
        <f t="shared" si="4"/>
        <v>133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3606</v>
      </c>
      <c r="Z18" s="932">
        <f t="shared" si="5"/>
        <v>100</v>
      </c>
      <c r="AA18" s="932">
        <f t="shared" si="5"/>
        <v>6551</v>
      </c>
      <c r="AB18" s="932">
        <f t="shared" si="5"/>
        <v>0</v>
      </c>
      <c r="AC18" s="932">
        <f t="shared" si="5"/>
        <v>0</v>
      </c>
      <c r="AD18" s="932">
        <f t="shared" si="5"/>
        <v>0</v>
      </c>
      <c r="AE18" s="932">
        <f t="shared" si="5"/>
        <v>728</v>
      </c>
      <c r="AF18" s="932">
        <f t="shared" si="5"/>
        <v>0</v>
      </c>
      <c r="AG18" s="932">
        <f t="shared" si="5"/>
        <v>0</v>
      </c>
      <c r="AH18" s="932">
        <f t="shared" si="5"/>
        <v>0</v>
      </c>
      <c r="AI18" s="932">
        <f t="shared" si="5"/>
        <v>0</v>
      </c>
      <c r="AJ18" s="932">
        <f t="shared" si="5"/>
        <v>387</v>
      </c>
      <c r="AK18" s="932">
        <f t="shared" si="5"/>
        <v>2401</v>
      </c>
      <c r="AL18" s="932">
        <f t="shared" si="5"/>
        <v>0</v>
      </c>
      <c r="AM18" s="932">
        <f t="shared" si="5"/>
        <v>0</v>
      </c>
      <c r="AN18" s="932">
        <f t="shared" si="5"/>
        <v>0</v>
      </c>
      <c r="AO18" s="934">
        <f>IF(ISNUMBER(((NºAsuntos!I18/NºAsuntos!G18)*11)/factor_trimestre),((NºAsuntos!I18/NºAsuntos!G18)*11)/factor_trimestre," - ")</f>
        <v>3.6333887964503604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6352</v>
      </c>
      <c r="G19" s="820">
        <f t="shared" si="7"/>
        <v>6579</v>
      </c>
      <c r="H19" s="821">
        <f t="shared" si="7"/>
        <v>0</v>
      </c>
      <c r="I19" s="820">
        <f t="shared" si="7"/>
        <v>0</v>
      </c>
      <c r="J19" s="822">
        <f t="shared" si="7"/>
        <v>0</v>
      </c>
      <c r="K19" s="820">
        <f t="shared" si="7"/>
        <v>0</v>
      </c>
      <c r="L19" s="823">
        <f t="shared" si="7"/>
        <v>0</v>
      </c>
      <c r="M19" s="820">
        <f t="shared" si="7"/>
        <v>0</v>
      </c>
      <c r="N19" s="821">
        <f t="shared" si="7"/>
        <v>714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3637</v>
      </c>
      <c r="Z19" s="827">
        <f t="shared" si="8"/>
        <v>1148</v>
      </c>
      <c r="AA19" s="828">
        <f t="shared" si="8"/>
        <v>6693</v>
      </c>
      <c r="AB19" s="828">
        <f t="shared" si="8"/>
        <v>0</v>
      </c>
      <c r="AC19" s="828">
        <f t="shared" si="8"/>
        <v>0</v>
      </c>
      <c r="AD19" s="829">
        <f t="shared" si="8"/>
        <v>0</v>
      </c>
      <c r="AE19" s="829">
        <f t="shared" si="8"/>
        <v>18084</v>
      </c>
      <c r="AF19" s="830">
        <f t="shared" si="8"/>
        <v>0</v>
      </c>
      <c r="AG19" s="831">
        <f t="shared" si="8"/>
        <v>0</v>
      </c>
      <c r="AH19" s="832">
        <f t="shared" si="8"/>
        <v>0</v>
      </c>
      <c r="AI19" s="830">
        <f t="shared" si="8"/>
        <v>0</v>
      </c>
      <c r="AJ19" s="820">
        <f t="shared" si="8"/>
        <v>1210</v>
      </c>
      <c r="AK19" s="820">
        <f t="shared" si="8"/>
        <v>4466</v>
      </c>
      <c r="AL19" s="820">
        <f t="shared" si="8"/>
        <v>0</v>
      </c>
      <c r="AM19" s="833">
        <f t="shared" si="8"/>
        <v>0</v>
      </c>
      <c r="AN19" s="823">
        <f>IF(ISNUMBER(Datos!K19/Datos!J19),Datos!K19/Datos!J19," - ")</f>
        <v>1.1478420569329659</v>
      </c>
      <c r="AO19" s="823">
        <f>IF(ISNUMBER(FIND("06",Criterios!A8,1)),(IF(ISNUMBER(((Datos!R19/Datos!Q19)*11)/factor_trimestre),((Datos!R19/Datos!Q19)*11)/factor_trimestre," - ")),(IF(ISNUMBER(((Datos!L19/Datos!K19)*11)/factor_trimestre),((Datos!L19/Datos!K19)*11)/factor_trimestre," - ")))</f>
        <v>5.9416000000000002</v>
      </c>
      <c r="AP19" s="834" t="str">
        <f>IF(ISNUMBER(Datos!CI19/Datos!CJ19),Datos!CI19/Datos!CJ19," - ")</f>
        <v xml:space="preserve"> - </v>
      </c>
      <c r="AQ19" s="834">
        <f>IF(OR(ISNUMBER(FIND("01",Criterios!A8,1)),ISNUMBER(FIND("02",Criterios!A8,1)),ISNUMBER(FIND("03",Criterios!A8,1)),ISNUMBER(FIND("04",Criterios!A8,1))),(J19-Y19+K19)/(F19-K19),(I19-Y19+K19)/(F19-K19))</f>
        <v>-0.57257556675062971</v>
      </c>
      <c r="AR19" s="834">
        <f>IF(ISNUMBER((Datos!P19-Datos!Q19+O19)/(Datos!R19-Datos!P19+Datos!Q19-O19)),(Datos!P19-Datos!Q19+O19)/(Datos!R19-Datos!P19+Datos!Q19-O19)," - ")</f>
        <v>-2.343665622637434E-2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2631.6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3503.3614334426493</v>
      </c>
      <c r="G21" s="552">
        <f>IF(ISNUMBER(STDEV(G8:G18)),STDEV(G8:G18),"-")</f>
        <v>3362.5069962752495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306.25355197162708</v>
      </c>
      <c r="AK21" s="252"/>
      <c r="AL21" s="252">
        <f>IF(ISNUMBER(STDEV(AL8:AL18)),STDEV(AL8:AL18),"-")</f>
        <v>0</v>
      </c>
      <c r="AM21" s="254">
        <f>IF(ISNUMBER(STDEV(AM8:AM18)),STDEV(AM8:AM18),"-")</f>
        <v>0</v>
      </c>
      <c r="AN21" s="539">
        <f>IF(ISNUMBER(STDEV(AN8:AN18)),STDEV(AN8:AN18),"-")</f>
        <v>0</v>
      </c>
      <c r="AO21" s="540">
        <f>IF(ISNUMBER(STDEV(AO8:AO18)),STDEV(AO8:AO18),"-")</f>
        <v>2.85065858352645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4aOO6AMNGHi8ZLX27MOOVy4mCBvrBBxlV0uIWn40VqA0+gKsHiGNGZhH25M8Ld32Zs5PsqzcmvZP4cpCkm+k/Q==" saltValue="BDxX9wbWOVL0XmXO2542O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W/mSHVj3sFm+nGH68JtvO7KjAx4a4SR27BPFOAevXJaFi49b85g1faG7hOJp9obv+VIK/sENqBG9AAcmB/G/A==" saltValue="R0R3ui+BYx7mRbMcpchS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37P2jKjeyMx8Ib7dpH0d8LCCWTPuwPrpewxCaf0FF/80etNWN84sed9Mu7P347mxuFyzosEpp/YWJuttU/QlQ==" saltValue="KTwfkrZUIFthckx1JnuG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SABADELL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0.19590573672935016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0.13852627491466998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jRmgHcqUA+dT+GCLW0XzahHs82T8q2zsulrSG9lWmTEBGekwaVcg96+TkStrSgbMxaCBBxDk854p9sXQvEA3Xw==" saltValue="AUSyRMmetzIzQNZ6UDOTS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X0y46QqKRuPInyP5PebwuwwmwUw/idCdF7OnU6RvZtrYlQnRvGI9fzW0U5g3IVN1TtFN9tkkQ+hgmqcNa1eNg==" saltValue="k/lKN+3M/qV5eQojaqKv0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SABADELL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15809</v>
      </c>
      <c r="D9" s="404">
        <f>IF(ISNUMBER(C9/Datos!BH9),C9/Datos!BH9," - ")</f>
        <v>1976.125</v>
      </c>
      <c r="E9" s="403">
        <f>IF(ISNUMBER(IF(J_V="SI",Datos!J9,Datos!J9+Datos!Z9)),IF(J_V="SI",Datos!J9,Datos!J9+Datos!Z9)," - ")</f>
        <v>2520</v>
      </c>
      <c r="F9" s="404">
        <f>IF(ISNUMBER(E9/B9),E9/B9," - ")</f>
        <v>315</v>
      </c>
      <c r="G9" s="403">
        <f>IF(ISNUMBER(IF(J_V="SI",Datos!K9,Datos!K9+Datos!AA9)),IF(J_V="SI",Datos!K9,Datos!K9+Datos!AA9)," - ")</f>
        <v>3605</v>
      </c>
      <c r="H9" s="404">
        <f>IF(ISNUMBER(G9/B9),G9/B9," - ")</f>
        <v>450.625</v>
      </c>
      <c r="I9" s="403">
        <f>IF(ISNUMBER(IF(J_V="SI",Datos!L9,Datos!L9+Datos!AB9)),IF(J_V="SI",Datos!L9,Datos!L9+Datos!AB9)," - ")</f>
        <v>14704</v>
      </c>
      <c r="J9" s="404">
        <f>IF(ISNUMBER(I9/B9),I9/B9," - ")</f>
        <v>1838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142</v>
      </c>
      <c r="D10" s="404">
        <f>IF(ISNUMBER(C10/Datos!BH10),C10/Datos!BH10," - ")</f>
        <v>142</v>
      </c>
      <c r="E10" s="403">
        <f>IF(ISNUMBER(Datos!J10),Datos!J10," - ")</f>
        <v>31</v>
      </c>
      <c r="F10" s="404">
        <f>IF(ISNUMBER(E10/B10),E10/B10," - ")</f>
        <v>31</v>
      </c>
      <c r="G10" s="403">
        <f>IF(ISNUMBER(Datos!K10),Datos!K10," - ")</f>
        <v>31</v>
      </c>
      <c r="H10" s="404">
        <f>IF(ISNUMBER(G10/B10),G10/B10," - ")</f>
        <v>31</v>
      </c>
      <c r="I10" s="403">
        <f>IF(ISNUMBER(Datos!L10),Datos!L10," - ")</f>
        <v>142</v>
      </c>
      <c r="J10" s="404">
        <f>IF(ISNUMBER(I10/B10),I10/B10," - ")</f>
        <v>142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1158</v>
      </c>
      <c r="D11" s="404">
        <f>IF(ISNUMBER(C11/Datos!BH11),C11/Datos!BH11," - ")</f>
        <v>579</v>
      </c>
      <c r="E11" s="403">
        <f>IF(ISNUMBER(IF(J_V="SI",Datos!J11,Datos!J11+Datos!Z11)),IF(J_V="SI",Datos!J11,Datos!J11+Datos!Z11)," - ")</f>
        <v>546</v>
      </c>
      <c r="F11" s="404">
        <f>IF(ISNUMBER(E11/B11),E11/B11," - ")</f>
        <v>273</v>
      </c>
      <c r="G11" s="403">
        <f>IF(ISNUMBER(IF(J_V="SI",Datos!K11,Datos!K11+Datos!AA11)),IF(J_V="SI",Datos!K11,Datos!K11+Datos!AA11)," - ")</f>
        <v>565</v>
      </c>
      <c r="H11" s="404">
        <f>IF(ISNUMBER(G11/B11),G11/B11," - ")</f>
        <v>282.5</v>
      </c>
      <c r="I11" s="403">
        <f>IF(ISNUMBER(IF(J_V="SI",Datos!L11,Datos!L11+Datos!AB11)),IF(J_V="SI",Datos!L11,Datos!L11+Datos!AB11)," - ")</f>
        <v>1151</v>
      </c>
      <c r="J11" s="404">
        <f>IF(ISNUMBER(I11/B11),I11/B11," - ")</f>
        <v>575.5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17109</v>
      </c>
      <c r="D13" s="850" t="str">
        <f>IF(ISNUMBER(C13/Datos!BI13),C13/Datos!BI13," - ")</f>
        <v xml:space="preserve"> - </v>
      </c>
      <c r="E13" s="849">
        <f>SUBTOTAL(9,E8:E12)</f>
        <v>3097</v>
      </c>
      <c r="F13" s="850">
        <f>IF(ISNUMBER(E13/B13),E13/B13," - ")</f>
        <v>281.54545454545456</v>
      </c>
      <c r="G13" s="849">
        <f>SUBTOTAL(9,G8:G12)</f>
        <v>4201</v>
      </c>
      <c r="H13" s="850">
        <f>IF(ISNUMBER(G13/B13),G13/B13," - ")</f>
        <v>381.90909090909093</v>
      </c>
      <c r="I13" s="849">
        <f>SUBTOTAL(9,I8:I12)</f>
        <v>15997</v>
      </c>
      <c r="J13" s="850">
        <f>IF(ISNUMBER(I13/B13),I13/B13," - ")</f>
        <v>1454.2727272727273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6190</v>
      </c>
      <c r="D15" s="404">
        <f>IF(ISNUMBER(C15/Datos!BH15),C15/Datos!BH15," - ")</f>
        <v>1238</v>
      </c>
      <c r="E15" s="403">
        <f>IF(ISNUMBER(IF(D_I="SI",Datos!J15,Datos!J15+Datos!AD15)),IF(D_I="SI",Datos!J15,Datos!J15+Datos!AD15)," - ")</f>
        <v>3347</v>
      </c>
      <c r="F15" s="404">
        <f>IF(ISNUMBER(E15/B15),E15/B15," - ")</f>
        <v>669.4</v>
      </c>
      <c r="G15" s="403">
        <f>IF(ISNUMBER(IF(D_I="SI",Datos!K15,Datos!K15+Datos!AE15)),IF(D_I="SI",Datos!K15,Datos!K15+Datos!AE15)," - ")</f>
        <v>3268</v>
      </c>
      <c r="H15" s="404">
        <f>IF(ISNUMBER(G15/B15),G15/B15," - ")</f>
        <v>653.6</v>
      </c>
      <c r="I15" s="403">
        <f>IF(ISNUMBER(IF(D_I="SI",Datos!L15,Datos!L15+Datos!AF15)),IF(D_I="SI",Datos!L15,Datos!L15+Datos!AF15)," - ")</f>
        <v>6289</v>
      </c>
      <c r="J15" s="404">
        <f>IF(ISNUMBER(I15/B15),I15/B15," - ")</f>
        <v>1257.8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247</v>
      </c>
      <c r="D17" s="404">
        <f>IF(ISNUMBER(C17/Datos!BH17),C17/Datos!BH17," - ")</f>
        <v>247</v>
      </c>
      <c r="E17" s="403">
        <f>IF(ISNUMBER(IF(D_I="SI",Datos!J17,Datos!J17+Datos!AD17)),IF(D_I="SI",Datos!J17,Datos!J17+Datos!AD17)," - ")</f>
        <v>353</v>
      </c>
      <c r="F17" s="404">
        <f>IF(ISNUMBER(E17/B17),E17/B17," - ")</f>
        <v>353</v>
      </c>
      <c r="G17" s="403">
        <f>IF(ISNUMBER(IF(D_I="SI",Datos!K17,Datos!K17+Datos!AE17)),IF(D_I="SI",Datos!K17,Datos!K17+Datos!AE17)," - ")</f>
        <v>338</v>
      </c>
      <c r="H17" s="404">
        <f>IF(ISNUMBER(G17/B17),G17/B17," - ")</f>
        <v>338</v>
      </c>
      <c r="I17" s="403">
        <f>IF(ISNUMBER(IF(D_I="SI",Datos!L17,Datos!L17+Datos!AF17)),IF(D_I="SI",Datos!L17,Datos!L17+Datos!AF17)," - ")</f>
        <v>262</v>
      </c>
      <c r="J17" s="404">
        <f>IF(ISNUMBER(I17/B17),I17/B17," - ")</f>
        <v>262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6437</v>
      </c>
      <c r="D18" s="850" t="str">
        <f>IF(ISNUMBER(C18/Datos!BI18),C18/Datos!BI18," - ")</f>
        <v xml:space="preserve"> - </v>
      </c>
      <c r="E18" s="849">
        <f>SUBTOTAL(9,E14:E17)</f>
        <v>3700</v>
      </c>
      <c r="F18" s="850">
        <f>IF(ISNUMBER(E18/B18),E18/B18," - ")</f>
        <v>616.66666666666663</v>
      </c>
      <c r="G18" s="849">
        <f>SUBTOTAL(9,G14:G17)</f>
        <v>3606</v>
      </c>
      <c r="H18" s="850">
        <f>IF(ISNUMBER(G18/B18),G18/B18," - ")</f>
        <v>601</v>
      </c>
      <c r="I18" s="849">
        <f>SUBTOTAL(9,I14:I17)</f>
        <v>6551</v>
      </c>
      <c r="J18" s="850">
        <f>IF(ISNUMBER(I18/B18),I18/B18," - ")</f>
        <v>1091.8333333333333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23546</v>
      </c>
      <c r="D19" s="795" t="str">
        <f>IF(ISNUMBER(C19/Datos!BI19),C19/Datos!BI19," - ")</f>
        <v xml:space="preserve"> - </v>
      </c>
      <c r="E19" s="794">
        <f>SUBTOTAL(9,E9:E18)</f>
        <v>6797</v>
      </c>
      <c r="F19" s="795">
        <f>IF(ISNUMBER(E19/B19),E19/B19," - ")</f>
        <v>424.8125</v>
      </c>
      <c r="G19" s="794">
        <f>SUBTOTAL(9,G9:G18)</f>
        <v>7807</v>
      </c>
      <c r="H19" s="795">
        <f>IF(ISNUMBER(G19/B19),G19/B19," - ")</f>
        <v>487.9375</v>
      </c>
      <c r="I19" s="794">
        <f>SUBTOTAL(9,I9:I18)</f>
        <v>22548</v>
      </c>
      <c r="J19" s="795">
        <f>IF(ISNUMBER(I19/B19),I19/B19," - ")</f>
        <v>1409.25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JKee9psu/wPTy3K/qtsWX0p2PrjU8wIydavJczWnNuFtzNCZrtWylS8Ao0SokDvL5pdG/fS81M2ZxQTYxESdkA==" saltValue="at4i7k+NHCutHqiQSVSPA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SABADELL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142</v>
      </c>
      <c r="G10" s="684">
        <f>IF(ISNUMBER(Datos!I10),Datos!I10," - ")</f>
        <v>142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142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9.1612903225806459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142</v>
      </c>
      <c r="G13" s="938">
        <f t="shared" si="0"/>
        <v>142</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0</v>
      </c>
      <c r="AE13" s="939">
        <f t="shared" si="1"/>
        <v>0</v>
      </c>
      <c r="AF13" s="939">
        <f t="shared" si="1"/>
        <v>142</v>
      </c>
      <c r="AG13" s="939">
        <f t="shared" si="1"/>
        <v>0</v>
      </c>
      <c r="AH13" s="939">
        <f t="shared" si="1"/>
        <v>0</v>
      </c>
      <c r="AI13" s="939">
        <f t="shared" si="1"/>
        <v>0</v>
      </c>
      <c r="AJ13" s="939">
        <f t="shared" si="1"/>
        <v>0</v>
      </c>
      <c r="AK13" s="939">
        <f t="shared" si="1"/>
        <v>0</v>
      </c>
      <c r="AL13" s="939">
        <f t="shared" si="1"/>
        <v>21</v>
      </c>
      <c r="AM13" s="939">
        <f t="shared" si="1"/>
        <v>7</v>
      </c>
      <c r="AN13" s="939">
        <f t="shared" si="1"/>
        <v>0</v>
      </c>
      <c r="AO13" s="939">
        <f t="shared" si="1"/>
        <v>0</v>
      </c>
      <c r="AP13" s="944">
        <f>IF(ISNUMBER(((Datos!L13/Datos!K13)*11)/factor_trimestre),((Datos!L13/Datos!K13)*11)/factor_trimestre," - ")</f>
        <v>8.0790960451977405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-0.21830985915492956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3.6333887964503604</v>
      </c>
      <c r="AQ18" s="944">
        <f>IF(ISNUMBER(((Datos!M18/Datos!L18)*11)/factor_trimestre),((Datos!M18/Datos!L18)*11)/factor_trimestre," - ")</f>
        <v>0.11814990077850709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4.7482014388489209E-2</v>
      </c>
      <c r="AW18" s="946">
        <f>IF(ISNUMBER((Datos!Q18-Datos!R18)/(Datos!S18-Datos!Q18+Datos!R18)),(Datos!Q18-Datos!R18)/(Datos!S18-Datos!Q18+Datos!R18)," - ")</f>
        <v>-9.4110594934811928E-2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142</v>
      </c>
      <c r="G19" s="951">
        <f t="shared" si="4"/>
        <v>142</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0</v>
      </c>
      <c r="AE19" s="957">
        <f t="shared" si="5"/>
        <v>0</v>
      </c>
      <c r="AF19" s="958">
        <f t="shared" si="5"/>
        <v>142</v>
      </c>
      <c r="AG19" s="958">
        <f t="shared" si="5"/>
        <v>0</v>
      </c>
      <c r="AH19" s="958">
        <f t="shared" si="5"/>
        <v>0</v>
      </c>
      <c r="AI19" s="958">
        <f t="shared" si="5"/>
        <v>0</v>
      </c>
      <c r="AJ19" s="959">
        <f t="shared" si="5"/>
        <v>0</v>
      </c>
      <c r="AK19" s="959">
        <f t="shared" si="5"/>
        <v>0</v>
      </c>
      <c r="AL19" s="951">
        <f t="shared" si="5"/>
        <v>21</v>
      </c>
      <c r="AM19" s="951">
        <f t="shared" si="5"/>
        <v>7</v>
      </c>
      <c r="AN19" s="951">
        <f t="shared" si="5"/>
        <v>0</v>
      </c>
      <c r="AO19" s="951">
        <f t="shared" si="5"/>
        <v>0</v>
      </c>
      <c r="AP19" s="951">
        <f>IF(ISNUMBER(((Datos!L19/Datos!K19)*11)/factor_trimestre),((Datos!L19/Datos!K19)*11)/factor_trimestre," - ")</f>
        <v>5.9416000000000002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-0.21830985915492956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-2.343665622637434E-2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4.6761807778000488</v>
      </c>
      <c r="F21" s="736">
        <f>IF(ISNUMBER(STDEV(F8:F18)),STDEV(F8:F18),"-")</f>
        <v>81.983738224926867</v>
      </c>
      <c r="G21" s="737">
        <f>IF(ISNUMBER(STDEV(G8:G18)),STDEV(G8:G18),"-")</f>
        <v>81.983738224926867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2.9295378668019456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mlHgQ92eBDb+qXBGHSqiwE7C10VIbGMXtKIqsF2GwASZsG/RNMMwF71V9SsXiltLrDl6X4QwL/4Tt5lHzNjD9g==" saltValue="pq+IwDH71mFVN3gId50k3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SABADELL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hgOduWorQAHuvU8xEfxgiO0V2cN0p8GvdeZ4al3xkyKoWFbhFeJ2ETSzBPj0JgL5PqfjWoEyPloKSqwOocbqg==" saltValue="TCr2S9w7kFTedILgTohg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SABADELL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656</v>
      </c>
      <c r="E9" s="404">
        <f t="shared" ref="E9:E13" si="0">IF(ISNUMBER(D9/B9),D9/B9," - ")</f>
        <v>82</v>
      </c>
      <c r="F9" s="403">
        <f>IF(ISNUMBER(Datos!N9),Datos!N9," - ")</f>
        <v>1680</v>
      </c>
      <c r="G9" s="404">
        <f t="shared" ref="G9:G13" si="1">IF(ISNUMBER(F9/B9),F9/B9," - ")</f>
        <v>210</v>
      </c>
      <c r="H9" s="403">
        <f>IF(ISNUMBER(Datos!O9),Datos!O9," - ")</f>
        <v>1667</v>
      </c>
      <c r="I9" s="404">
        <f>IF(ISNUMBER(H9/B9),H9/B9," - ")</f>
        <v>208.375</v>
      </c>
      <c r="BZ9" s="1186">
        <f>Datos!EZ9</f>
        <v>0</v>
      </c>
    </row>
    <row r="10" spans="1:78">
      <c r="A10" s="402" t="str">
        <f>Datos!A10</f>
        <v>Jdos. Violencia contra la mujer</v>
      </c>
      <c r="B10" s="427">
        <f>Datos!AO10</f>
        <v>1</v>
      </c>
      <c r="C10" s="410">
        <f>Datos!AQ10</f>
        <v>1</v>
      </c>
      <c r="D10" s="403">
        <f>IF(ISNUMBER(Datos!M10),Datos!M10," - ")</f>
        <v>21</v>
      </c>
      <c r="E10" s="404">
        <f>IF(ISNUMBER(D10/B10),D10/B10," - ")</f>
        <v>21</v>
      </c>
      <c r="F10" s="403">
        <f>IF(ISNUMBER(Datos!N10),Datos!N10," - ")</f>
        <v>7</v>
      </c>
      <c r="G10" s="404">
        <f>IF(ISNUMBER(F10/B10),F10/B10," - ")</f>
        <v>7</v>
      </c>
      <c r="H10" s="403">
        <f>IF(ISNUMBER(Datos!O10),Datos!O10," - ")</f>
        <v>4</v>
      </c>
      <c r="I10" s="404">
        <f t="shared" ref="I10:I12" si="2">IF(ISNUMBER(H10/B10),H10/B10," - ")</f>
        <v>4</v>
      </c>
      <c r="BZ10" s="1186">
        <f>Datos!EZ10</f>
        <v>0</v>
      </c>
    </row>
    <row r="11" spans="1:78">
      <c r="A11" s="402" t="str">
        <f>Datos!A11</f>
        <v xml:space="preserve">Jdos. Familia                                   </v>
      </c>
      <c r="B11" s="427">
        <f>Datos!AO11</f>
        <v>2</v>
      </c>
      <c r="C11" s="410">
        <f>Datos!AQ11</f>
        <v>2</v>
      </c>
      <c r="D11" s="403">
        <f>IF(ISNUMBER(Datos!M11),Datos!M11," - ")</f>
        <v>146</v>
      </c>
      <c r="E11" s="404">
        <f t="shared" si="0"/>
        <v>73</v>
      </c>
      <c r="F11" s="403">
        <f>IF(ISNUMBER(Datos!N11),Datos!N11," - ")</f>
        <v>378</v>
      </c>
      <c r="G11" s="404">
        <f t="shared" si="1"/>
        <v>189</v>
      </c>
      <c r="H11" s="403">
        <f>IF(ISNUMBER(Datos!O11),Datos!O11," - ")</f>
        <v>113</v>
      </c>
      <c r="I11" s="404">
        <f t="shared" si="2"/>
        <v>56.5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823</v>
      </c>
      <c r="E13" s="850">
        <f t="shared" si="0"/>
        <v>74.818181818181813</v>
      </c>
      <c r="F13" s="849">
        <f>SUBTOTAL(9,F9:F12)</f>
        <v>2065</v>
      </c>
      <c r="G13" s="850">
        <f t="shared" si="1"/>
        <v>187.72727272727272</v>
      </c>
      <c r="H13" s="849">
        <f>SUBTOTAL(9,H9:H12)</f>
        <v>1784</v>
      </c>
      <c r="I13" s="850">
        <f>IF(ISNUMBER(H13/B13),H13/B13," - ")</f>
        <v>162.18181818181819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344</v>
      </c>
      <c r="E15" s="404">
        <f t="shared" ref="E15:E18" si="3">IF(ISNUMBER(D15/B15),D15/B15," - ")</f>
        <v>68.8</v>
      </c>
      <c r="F15" s="403">
        <f>IF(ISNUMBER(Datos!N15),Datos!N15," - ")</f>
        <v>2247</v>
      </c>
      <c r="G15" s="404">
        <f t="shared" ref="G15:G18" si="4">IF(ISNUMBER(F15/B15),F15/B15," - ")</f>
        <v>449.4</v>
      </c>
      <c r="H15" s="403">
        <f>IF(ISNUMBER(Datos!O15),Datos!O15," - ")</f>
        <v>64</v>
      </c>
      <c r="I15" s="404">
        <f t="shared" ref="I15:I17" si="5">IF(ISNUMBER(H15/B15),H15/B15," - ")</f>
        <v>12.8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43</v>
      </c>
      <c r="E17" s="404">
        <f>IF(ISNUMBER(D17/B17),D17/B17," - ")</f>
        <v>43</v>
      </c>
      <c r="F17" s="403">
        <f>IF(ISNUMBER(Datos!N17),Datos!N17," - ")</f>
        <v>154</v>
      </c>
      <c r="G17" s="404">
        <f>IF(ISNUMBER(F17/B17),F17/B17," - ")</f>
        <v>154</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387</v>
      </c>
      <c r="E18" s="850">
        <f t="shared" si="3"/>
        <v>64.5</v>
      </c>
      <c r="F18" s="849">
        <f>SUBTOTAL(9,F15:F17)</f>
        <v>2401</v>
      </c>
      <c r="G18" s="850">
        <f t="shared" si="4"/>
        <v>400.16666666666669</v>
      </c>
      <c r="H18" s="849">
        <f>SUBTOTAL(9,H15:H17)</f>
        <v>64</v>
      </c>
      <c r="I18" s="850">
        <f>IF(ISNUMBER(H18/B18),H18/B18," - ")</f>
        <v>10.666666666666666</v>
      </c>
      <c r="BZ18" s="1186"/>
    </row>
    <row r="19" spans="1:78" ht="14.25" thickTop="1" thickBot="1">
      <c r="A19" s="793" t="str">
        <f>Datos!A19</f>
        <v>TOTAL JURISDICCIONES</v>
      </c>
      <c r="B19" s="794">
        <f>Datos!AP19</f>
        <v>16</v>
      </c>
      <c r="C19" s="794">
        <f>Datos!AR19</f>
        <v>16</v>
      </c>
      <c r="D19" s="794">
        <f>SUBTOTAL(9,D8:D18)</f>
        <v>1210</v>
      </c>
      <c r="E19" s="795">
        <f>IF(ISNUMBER(D19/B19),D19/B19," - ")</f>
        <v>75.625</v>
      </c>
      <c r="F19" s="794">
        <f>SUBTOTAL(9,F8:F18)</f>
        <v>4466</v>
      </c>
      <c r="G19" s="795">
        <f>IF(ISNUMBER(F19/B19),F19/B19," - ")</f>
        <v>279.125</v>
      </c>
      <c r="H19" s="794">
        <f>SUBTOTAL(9,H8:H18)</f>
        <v>1848</v>
      </c>
      <c r="I19" s="795">
        <f>IF(ISNUMBER(H19/B19),H19/B19," - ")</f>
        <v>115.5</v>
      </c>
    </row>
    <row r="22" spans="1:78">
      <c r="A22" s="391" t="str">
        <f>Criterios!A4</f>
        <v>Fecha Informe: 29 nov. 2024</v>
      </c>
    </row>
    <row r="27" spans="1:78">
      <c r="A27" s="414"/>
    </row>
  </sheetData>
  <sheetProtection algorithmName="SHA-512" hashValue="9E0G0AUvPO3sNKwbd9vq4ARthlWecamKa8314XbJTSN8zWCpuTMN5bC1qBDCpvx9AO4FypUM6ekUK7VhefBqZg==" saltValue="p39RM00SOp56Kl9qGceo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SABADELL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528</v>
      </c>
      <c r="C9" s="434">
        <f>IF(ISNUMBER(Datos!Q9),Datos!Q9," - ")</f>
        <v>987</v>
      </c>
      <c r="D9" s="408">
        <f>IF(ISNUMBER(Datos!R9),Datos!R9," - ")</f>
        <v>16387</v>
      </c>
    </row>
    <row r="10" spans="1:4">
      <c r="A10" s="402" t="str">
        <f>Datos!A10</f>
        <v>Jdos. Violencia contra la mujer</v>
      </c>
      <c r="B10" s="433">
        <f>IF(ISNUMBER(Datos!P10),Datos!P10," - ")</f>
        <v>8</v>
      </c>
      <c r="C10" s="434">
        <f>IF(ISNUMBER(Datos!Q10),Datos!Q10," - ")</f>
        <v>1</v>
      </c>
      <c r="D10" s="408">
        <f>IF(ISNUMBER(Datos!R10),Datos!R10," - ")</f>
        <v>163</v>
      </c>
    </row>
    <row r="11" spans="1:4">
      <c r="A11" s="402" t="str">
        <f>Datos!A11</f>
        <v xml:space="preserve">Jdos. Familia                                   </v>
      </c>
      <c r="B11" s="433">
        <f>IF(ISNUMBER(Datos!P11),Datos!P11," - ")</f>
        <v>45</v>
      </c>
      <c r="C11" s="434">
        <f>IF(ISNUMBER(Datos!Q11),Datos!Q11," - ")</f>
        <v>60</v>
      </c>
      <c r="D11" s="408">
        <f>IF(ISNUMBER(Datos!R11),Datos!R11," - ")</f>
        <v>806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581</v>
      </c>
      <c r="C13" s="853">
        <f>SUBTOTAL(9,C9:C12)</f>
        <v>1048</v>
      </c>
      <c r="D13" s="851">
        <f>SUBTOTAL(9,D9:D12)</f>
        <v>17356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131</v>
      </c>
      <c r="C15" s="434">
        <f>IF(ISNUMBER(Datos!Q15),Datos!Q15," - ")</f>
        <v>100</v>
      </c>
      <c r="D15" s="408">
        <f>IF(ISNUMBER(Datos!R15),Datos!R15," - ")</f>
        <v>717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0</v>
      </c>
      <c r="D17" s="408">
        <f>IF(ISNUMBER(Datos!R17),Datos!R17," - ")</f>
        <v>11</v>
      </c>
    </row>
    <row r="18" spans="1:4" ht="14.25" thickTop="1" thickBot="1">
      <c r="A18" s="848" t="str">
        <f>Datos!A18</f>
        <v>TOTAL</v>
      </c>
      <c r="B18" s="849">
        <f>SUBTOTAL(9,B15:B17)</f>
        <v>133</v>
      </c>
      <c r="C18" s="853">
        <f>SUBTOTAL(9,C15:C17)</f>
        <v>100</v>
      </c>
      <c r="D18" s="851">
        <f>SUBTOTAL(9,D15:D17)</f>
        <v>728</v>
      </c>
    </row>
    <row r="19" spans="1:4" ht="16.5" customHeight="1" thickTop="1" thickBot="1">
      <c r="A19" s="793" t="str">
        <f>Datos!A19</f>
        <v>TOTAL JURISDICCIONES</v>
      </c>
      <c r="B19" s="798">
        <f>SUBTOTAL(9,B8:B18)</f>
        <v>714</v>
      </c>
      <c r="C19" s="799">
        <f>SUBTOTAL(9,C8:C18)</f>
        <v>1148</v>
      </c>
      <c r="D19" s="800">
        <f>SUBTOTAL(9,D8:D18)</f>
        <v>18084</v>
      </c>
    </row>
    <row r="20" spans="1:4" ht="7.5" customHeight="1"/>
    <row r="21" spans="1:4" ht="6" customHeight="1"/>
    <row r="22" spans="1:4">
      <c r="A22" s="391" t="str">
        <f>Criterios!A4</f>
        <v>Fecha Informe: 29 nov. 2024</v>
      </c>
    </row>
    <row r="27" spans="1:4">
      <c r="A27" s="414"/>
    </row>
  </sheetData>
  <sheetProtection algorithmName="SHA-512" hashValue="7cYbWzE79SL4cOyz8mXpX2SqkQ6HdcS2IgzwsD0p/NfL6tCW+fkwNJ467HZq+YGfKcAvJRCZpn+GhN21VagaUA==" saltValue="Ma+4DRyVINrVuAsjdupVi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SABADELL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8.5782967032967034E-2</v>
      </c>
      <c r="C9" s="456">
        <f>IF(ISNUMBER(
   IF(J_V="SI",(Datos!J9-Datos!T9)/Datos!T9,(Datos!J9+Datos!Z9-(Datos!T9+Datos!AH9))/(Datos!T9+Datos!AH9))
     ),IF(J_V="SI",(Datos!J9-Datos!T9)/Datos!T9,(Datos!J9+Datos!Z9-(Datos!T9+Datos!AH9))/(Datos!T9+Datos!AH9))," - ")</f>
        <v>-0.15208613728129206</v>
      </c>
      <c r="D9" s="456">
        <f>IF(ISNUMBER(
   IF(J_V="SI",(Datos!K9-Datos!U9)/Datos!U9,(Datos!K9+Datos!AA9-(Datos!U9+Datos!AI9))/(Datos!U9+Datos!AI9))
     ),IF(J_V="SI",(Datos!K9-Datos!U9)/Datos!U9,(Datos!K9+Datos!AA9-(Datos!U9+Datos!AI9))/(Datos!U9+Datos!AI9))," - ")</f>
        <v>0.28934191702432044</v>
      </c>
      <c r="E9" s="456">
        <f>IF(ISNUMBER(
   IF(J_V="SI",(Datos!L9-Datos!V9)/Datos!V9,(Datos!L9+Datos!AB9-(Datos!V9+Datos!AJ9))/(Datos!V9+Datos!AJ9))
     ),IF(J_V="SI",(Datos!L9-Datos!V9)/Datos!V9,(Datos!L9+Datos!AB9-(Datos!V9+Datos!AJ9))/(Datos!V9+Datos!AJ9))," - ")</f>
        <v>1.6348773841961854E-3</v>
      </c>
      <c r="F9" s="456">
        <f>IF(ISNUMBER((Datos!M9-Datos!W9)/Datos!W9),(Datos!M9-Datos!W9)/Datos!W9," - ")</f>
        <v>0.12521440823327615</v>
      </c>
      <c r="G9" s="457">
        <f>IF(ISNUMBER((Datos!N9-Datos!X9)/Datos!X9),(Datos!N9-Datos!X9)/Datos!X9," - ")</f>
        <v>0.3493975903614458</v>
      </c>
      <c r="H9" s="455">
        <f>IF(ISNUMBER(((NºAsuntos!G9/NºAsuntos!E9)-Datos!BD9)/Datos!BD9),((NºAsuntos!G9/NºAsuntos!E9)-Datos!BD9)/Datos!BD9," - ")</f>
        <v>0.52060483230011123</v>
      </c>
      <c r="I9" s="456">
        <f>IF(ISNUMBER(((NºAsuntos!I9/NºAsuntos!G9)-Datos!BE9)/Datos!BE9),((NºAsuntos!I9/NºAsuntos!G9)-Datos!BE9)/Datos!BE9," - ")</f>
        <v>-0.22314254724931684</v>
      </c>
      <c r="J9" s="461">
        <f>IF(ISNUMBER((('Resol  Asuntos'!D9/NºAsuntos!G9)-Datos!BF9)/Datos!BF9),(('Resol  Asuntos'!D9/NºAsuntos!G9)-Datos!BF9)/Datos!BF9," - ")</f>
        <v>-0.59133599585582275</v>
      </c>
      <c r="K9" s="462">
        <f>IF(ISNUMBER((((NºAsuntos!C9+NºAsuntos!E9)/NºAsuntos!G9)-Datos!BG9)/Datos!BG9),(((NºAsuntos!C9+NºAsuntos!E9)/NºAsuntos!G9)-Datos!BG9)/Datos!BG9," - ")</f>
        <v>-0.18915245291114988</v>
      </c>
    </row>
    <row r="10" spans="1:11">
      <c r="A10" s="402" t="str">
        <f>Datos!A10</f>
        <v>Jdos. Violencia contra la mujer</v>
      </c>
      <c r="B10" s="455">
        <f>IF(ISNUMBER((Datos!I10-Datos!S10)/Datos!S10),(Datos!I10-Datos!S10)/Datos!S10," - ")</f>
        <v>0.17355371900826447</v>
      </c>
      <c r="C10" s="456">
        <f>IF(ISNUMBER((Datos!J10-Datos!T10)/Datos!T10),(Datos!J10-Datos!T10)/Datos!T10," - ")</f>
        <v>-6.0606060606060608E-2</v>
      </c>
      <c r="D10" s="456">
        <f>IF(ISNUMBER((Datos!K10-Datos!U10)/Datos!U10),(Datos!K10-Datos!U10)/Datos!U10," - ")</f>
        <v>-6.0606060606060608E-2</v>
      </c>
      <c r="E10" s="456">
        <f>IF(ISNUMBER((Datos!L10-Datos!V10)/Datos!V10),(Datos!L10-Datos!V10)/Datos!V10," - ")</f>
        <v>0.17355371900826447</v>
      </c>
      <c r="F10" s="456">
        <f>IF(ISNUMBER((Datos!M10-Datos!W10)/Datos!W10),(Datos!M10-Datos!W10)/Datos!W10," - ")</f>
        <v>0.75</v>
      </c>
      <c r="G10" s="457">
        <f>IF(ISNUMBER((Datos!N10-Datos!X10)/Datos!X10),(Datos!N10-Datos!X10)/Datos!X10," - ")</f>
        <v>-0.3</v>
      </c>
      <c r="H10" s="455">
        <f>IF(ISNUMBER(((NºAsuntos!G10/NºAsuntos!E10)-Datos!BD10)/Datos!BD10),((NºAsuntos!G10/NºAsuntos!E10)-Datos!BD10)/Datos!BD10," - ")</f>
        <v>0</v>
      </c>
      <c r="I10" s="456">
        <f>IF(ISNUMBER(((NºAsuntos!I10/NºAsuntos!G10)-Datos!BE10)/Datos!BE10),((NºAsuntos!I10/NºAsuntos!G10)-Datos!BE10)/Datos!BE10," - ")</f>
        <v>0.24926686217008812</v>
      </c>
      <c r="J10" s="461">
        <f>IF(ISNUMBER((('Resol  Asuntos'!D10/NºAsuntos!G10)-Datos!BF10)/Datos!BF10),(('Resol  Asuntos'!D10/NºAsuntos!G10)-Datos!BF10)/Datos!BF10," - ")</f>
        <v>0.8629032258064514</v>
      </c>
      <c r="K10" s="462">
        <f>IF(ISNUMBER((((NºAsuntos!C10+NºAsuntos!E10)/NºAsuntos!G10)-Datos!BG10)/Datos!BG10),(((NºAsuntos!C10+NºAsuntos!E10)/NºAsuntos!G10)-Datos!BG10)/Datos!BG10," - ")</f>
        <v>0.19585253456221199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0.10813397129186603</v>
      </c>
      <c r="C11" s="456">
        <f>IF(ISNUMBER(
   IF(J_V="SI",(Datos!J11-Datos!T11)/Datos!T11,(Datos!J11+Datos!Z11-(Datos!T11+Datos!AH11))/(Datos!T11+Datos!AH11))
     ),IF(J_V="SI",(Datos!J11-Datos!T11)/Datos!T11,(Datos!J11+Datos!Z11-(Datos!T11+Datos!AH11))/(Datos!T11+Datos!AH11))," - ")</f>
        <v>2.0560747663551402E-2</v>
      </c>
      <c r="D11" s="456">
        <f>IF(ISNUMBER(
   IF(J_V="SI",(Datos!K11-Datos!U11)/Datos!U11,(Datos!K11+Datos!AA11-(Datos!U11+Datos!AI11))/(Datos!U11+Datos!AI11))
     ),IF(J_V="SI",(Datos!K11-Datos!U11)/Datos!U11,(Datos!K11+Datos!AA11-(Datos!U11+Datos!AI11))/(Datos!U11+Datos!AI11))," - ")</f>
        <v>9.0733590733590733E-2</v>
      </c>
      <c r="E11" s="456">
        <f>IF(ISNUMBER(
   IF(J_V="SI",(Datos!L11-Datos!V11)/Datos!V11,(Datos!L11+Datos!AB11-(Datos!V11+Datos!AJ11))/(Datos!V11+Datos!AJ11))
     ),IF(J_V="SI",(Datos!L11-Datos!V11)/Datos!V11,(Datos!L11+Datos!AB11-(Datos!V11+Datos!AJ11))/(Datos!V11+Datos!AJ11))," - ")</f>
        <v>8.4825636192271445E-2</v>
      </c>
      <c r="F11" s="456">
        <f>IF(ISNUMBER((Datos!M11-Datos!W11)/Datos!W11),(Datos!M11-Datos!W11)/Datos!W11," - ")</f>
        <v>2.097902097902098E-2</v>
      </c>
      <c r="G11" s="457">
        <f>IF(ISNUMBER((Datos!N11-Datos!X11)/Datos!X11),(Datos!N11-Datos!X11)/Datos!X11," - ")</f>
        <v>0.21153846153846154</v>
      </c>
      <c r="H11" s="455">
        <f>IF(ISNUMBER(((NºAsuntos!G11/NºAsuntos!E11)-Datos!BD11)/Datos!BD11),((NºAsuntos!G11/NºAsuntos!E11)-Datos!BD11)/Datos!BD11," - ")</f>
        <v>6.8759104473390342E-2</v>
      </c>
      <c r="I11" s="456">
        <f>IF(ISNUMBER(((NºAsuntos!I11/NºAsuntos!G11)-Datos!BE11)/Datos!BE11),((NºAsuntos!I11/NºAsuntos!G11)-Datos!BE11)/Datos!BE11," - ")</f>
        <v>-5.4164963759351014E-3</v>
      </c>
      <c r="J11" s="461">
        <f>IF(ISNUMBER((('Resol  Asuntos'!D11/NºAsuntos!G11)-Datos!BF11)/Datos!BF11),(('Resol  Asuntos'!D11/NºAsuntos!G11)-Datos!BF11)/Datos!BF11," - ")</f>
        <v>-0.57097798956206036</v>
      </c>
      <c r="K11" s="462">
        <f>IF(ISNUMBER((((NºAsuntos!C11+NºAsuntos!E11)/NºAsuntos!G11)-Datos!BG11)/Datos!BG11),(((NºAsuntos!C11+NºAsuntos!E11)/NºAsuntos!G11)-Datos!BG11)/Datos!BG11," - ")</f>
        <v>-1.1233337067323866E-2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8.7943533002670743E-2</v>
      </c>
      <c r="C13" s="855">
        <f>IF(ISNUMBER(
   IF(J_V="SI",(Datos!J13-Datos!T13)/Datos!T13,(Datos!J13+Datos!Z13-(Datos!T13+Datos!AH13))/(Datos!T13+Datos!AH13))
     ),IF(J_V="SI",(Datos!J13-Datos!T13)/Datos!T13,(Datos!J13+Datos!Z13-(Datos!T13+Datos!AH13))/(Datos!T13+Datos!AH13))," - ")</f>
        <v>-0.12514124293785311</v>
      </c>
      <c r="D13" s="855">
        <f>IF(ISNUMBER(
   IF(J_V="SI",(Datos!K13-Datos!U13)/Datos!U13,(Datos!K13+Datos!AA13-(Datos!U13+Datos!AI13))/(Datos!U13+Datos!AI13))
     ),IF(J_V="SI",(Datos!K13-Datos!U13)/Datos!U13,(Datos!K13+Datos!AA13-(Datos!U13+Datos!AI13))/(Datos!U13+Datos!AI13))," - ")</f>
        <v>0.2551538691365402</v>
      </c>
      <c r="E13" s="855">
        <f>IF(ISNUMBER(
   IF(J_V="SI",(Datos!L13-Datos!V13)/Datos!V13,(Datos!L13+Datos!AB13-(Datos!V13+Datos!AJ13))/(Datos!V13+Datos!AJ13))
     ),IF(J_V="SI",(Datos!L13-Datos!V13)/Datos!V13,(Datos!L13+Datos!AB13-(Datos!V13+Datos!AJ13))/(Datos!V13+Datos!AJ13))," - ")</f>
        <v>8.5109065691589963E-3</v>
      </c>
      <c r="F13" s="856">
        <f>IF(ISNUMBER((Datos!M13-Datos!W13)/Datos!W13),(Datos!M13-Datos!W13)/Datos!W13," - ")</f>
        <v>0.11517615176151762</v>
      </c>
      <c r="G13" s="857">
        <f>IF(ISNUMBER((Datos!N13-Datos!X13)/Datos!X13),(Datos!N13-Datos!X13)/Datos!X13," - ")</f>
        <v>0.31780472239948948</v>
      </c>
      <c r="H13" s="857">
        <f>IF(ISNUMBER(((NºAsuntos!G13/NºAsuntos!E13)-Datos!BD13)/Datos!BD13),((NºAsuntos!G13/NºAsuntos!E13)-Datos!BD13)/Datos!BD13," - ")</f>
        <v>0.43469315361425659</v>
      </c>
      <c r="I13" s="857">
        <f>IF(ISNUMBER(((NºAsuntos!I13/NºAsuntos!G13)-Datos!BE13)/Datos!BE13),((NºAsuntos!I13/NºAsuntos!G13)-Datos!BE13)/Datos!BE13," - ")</f>
        <v>-0.1965041646543739</v>
      </c>
      <c r="J13" s="857">
        <f>IF(ISNUMBER((('Resol  Asuntos'!D13/NºAsuntos!G13)-Datos!BF13)/Datos!BF13),(('Resol  Asuntos'!D13/NºAsuntos!G13)-Datos!BF13)/Datos!BF13," - ")</f>
        <v>-0.58209273369462389</v>
      </c>
      <c r="K13" s="857">
        <f>IF(ISNUMBER((((NºAsuntos!C13+NºAsuntos!E13)/NºAsuntos!G13)-Datos!BG13)/Datos!BG13),(((NºAsuntos!C13+NºAsuntos!E13)/NºAsuntos!G13)-Datos!BG13)/Datos!BG13," - ")</f>
        <v>-0.16441271354743844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6.4854636160330298E-2</v>
      </c>
      <c r="C15" s="456">
        <f>IF(ISNUMBER(
   IF(D_I="SI",(Datos!J15-Datos!T15)/Datos!T15,(Datos!J15+Datos!AD15-(Datos!T15+Datos!AL15))/(Datos!T15+Datos!AL15))
     ),IF(D_I="SI",(Datos!J15-Datos!T15)/Datos!T15,(Datos!J15+Datos!AD15-(Datos!T15+Datos!AL15))/(Datos!T15+Datos!AL15))," - ")</f>
        <v>4.8558897243107767E-2</v>
      </c>
      <c r="D15" s="456">
        <f>IF(ISNUMBER(
   IF(D_I="SI",(Datos!K15-Datos!U15)/Datos!U15,(Datos!K15+Datos!AE15-(Datos!U15+Datos!AM15))/(Datos!U15+Datos!AM15))
     ),IF(D_I="SI",(Datos!K15-Datos!U15)/Datos!U15,(Datos!K15+Datos!AE15-(Datos!U15+Datos!AM15))/(Datos!U15+Datos!AM15))," - ")</f>
        <v>6.3802083333333329E-2</v>
      </c>
      <c r="E15" s="456">
        <f>IF(ISNUMBER(
   IF(D_I="SI",(Datos!L15-Datos!V15)/Datos!V15,(Datos!L15+Datos!AF15-(Datos!V15+Datos!AN15))/(Datos!V15+Datos!AN15))
     ),IF(D_I="SI",(Datos!L15-Datos!V15)/Datos!V15,(Datos!L15+Datos!AF15-(Datos!V15+Datos!AN15))/(Datos!V15+Datos!AN15))," - ")</f>
        <v>4.8516172057352452E-2</v>
      </c>
      <c r="F15" s="456">
        <f>IF(ISNUMBER((Datos!M15-Datos!W15)/Datos!W15),(Datos!M15-Datos!W15)/Datos!W15," - ")</f>
        <v>7.1651090342679122E-2</v>
      </c>
      <c r="G15" s="457">
        <f>IF(ISNUMBER((Datos!N15-Datos!X15)/Datos!X15),(Datos!N15-Datos!X15)/Datos!X15," - ")</f>
        <v>0.17952755905511811</v>
      </c>
      <c r="H15" s="455">
        <f>IF(ISNUMBER(((NºAsuntos!G15/NºAsuntos!E15)-Datos!BD15)/Datos!BD15),((NºAsuntos!G15/NºAsuntos!E15)-Datos!BD15)/Datos!BD15," - ")</f>
        <v>1.4537272184045521E-2</v>
      </c>
      <c r="I15" s="456">
        <f>IF(ISNUMBER(((NºAsuntos!I15/NºAsuntos!G15)-Datos!BE15)/Datos!BE15),((NºAsuntos!I15/NºAsuntos!G15)-Datos!BE15)/Datos!BE15," - ")</f>
        <v>-1.4369130795536414E-2</v>
      </c>
      <c r="J15" s="461">
        <f>IF(ISNUMBER((('Resol  Asuntos'!D15/NºAsuntos!G15)-Datos!BF15)/Datos!BF15),(('Resol  Asuntos'!D15/NºAsuntos!G15)-Datos!BF15)/Datos!BF15," - ")</f>
        <v>7.3782587309394422E-3</v>
      </c>
      <c r="K15" s="462">
        <f>IF(ISNUMBER((((NºAsuntos!C15+NºAsuntos!E15)/NºAsuntos!G15)-Datos!BG15)/Datos!BG15),(((NºAsuntos!C15+NºAsuntos!E15)/NºAsuntos!G15)-Datos!BG15)/Datos!BG15," - ")</f>
        <v>-4.4404815222333534E-3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6.4655172413793108E-2</v>
      </c>
      <c r="C17" s="456">
        <f>IF(ISNUMBER(
   IF(D_I="SI",(Datos!J17-Datos!T17)/Datos!T17,(Datos!J17+Datos!AD17-(Datos!T17+Datos!AL17))/(Datos!T17+Datos!AL17))
     ),IF(D_I="SI",(Datos!J17-Datos!T17)/Datos!T17,(Datos!J17+Datos!AD17-(Datos!T17+Datos!AL17))/(Datos!T17+Datos!AL17))," - ")</f>
        <v>8.9506172839506168E-2</v>
      </c>
      <c r="D17" s="456">
        <f>IF(ISNUMBER(
   IF(D_I="SI",(Datos!K17-Datos!U17)/Datos!U17,(Datos!K17+Datos!AE17-(Datos!U17+Datos!AM17))/(Datos!U17+Datos!AM17))
     ),IF(D_I="SI",(Datos!K17-Datos!U17)/Datos!U17,(Datos!K17+Datos!AE17-(Datos!U17+Datos!AM17))/(Datos!U17+Datos!AM17))," - ")</f>
        <v>7.9872204472843447E-2</v>
      </c>
      <c r="E17" s="456">
        <f>IF(ISNUMBER(
   IF(D_I="SI",(Datos!L17-Datos!V17)/Datos!V17,(Datos!L17+Datos!AF17-(Datos!V17+Datos!AN17))/(Datos!V17+Datos!AN17))
     ),IF(D_I="SI",(Datos!L17-Datos!V17)/Datos!V17,(Datos!L17+Datos!AF17-(Datos!V17+Datos!AN17))/(Datos!V17+Datos!AN17))," - ")</f>
        <v>7.8189300411522639E-2</v>
      </c>
      <c r="F17" s="456">
        <f>IF(ISNUMBER((Datos!M17-Datos!W17)/Datos!W17),(Datos!M17-Datos!W17)/Datos!W17," - ")</f>
        <v>0.10256410256410256</v>
      </c>
      <c r="G17" s="457">
        <f>IF(ISNUMBER((Datos!N17-Datos!X17)/Datos!X17),(Datos!N17-Datos!X17)/Datos!X17," - ")</f>
        <v>8.4507042253521125E-2</v>
      </c>
      <c r="H17" s="455">
        <f>IF(ISNUMBER(((NºAsuntos!G17/NºAsuntos!E17)-Datos!BD17)/Datos!BD17),((NºAsuntos!G17/NºAsuntos!E17)-Datos!BD17)/Datos!BD17," - ")</f>
        <v>-8.8425092090614662E-3</v>
      </c>
      <c r="I17" s="456">
        <f>IF(ISNUMBER(((NºAsuntos!I17/NºAsuntos!G17)-Datos!BE17)/Datos!BE17),((NºAsuntos!I17/NºAsuntos!G17)-Datos!BE17)/Datos!BE17," - ")</f>
        <v>-1.5584289088562847E-3</v>
      </c>
      <c r="J17" s="461">
        <f>IF(ISNUMBER((('Resol  Asuntos'!D17/NºAsuntos!G17)-Datos!BF17)/Datos!BF17),(('Resol  Asuntos'!D17/NºAsuntos!G17)-Datos!BF17)/Datos!BF17," - ")</f>
        <v>2.1013503262024107E-2</v>
      </c>
      <c r="K17" s="462">
        <f>IF(ISNUMBER((((NºAsuntos!C17+NºAsuntos!E17)/NºAsuntos!G17)-Datos!BG17)/Datos!BG17),(((NºAsuntos!C17+NºAsuntos!E17)/NºAsuntos!G17)-Datos!BG17)/Datos!BG17," - ")</f>
        <v>-6.8111191520157759E-4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6.4846980976013241E-2</v>
      </c>
      <c r="C18" s="855">
        <f>IF(ISNUMBER(
   IF(Criterios!B14="SI",(Datos!J18-Datos!T18)/Datos!T18,(Datos!J18+Datos!AD18-(Datos!T18+Datos!AL18))/(Datos!T18+Datos!AL18))
     ),IF(Criterios!B14="SI",(Datos!J18-Datos!T18)/Datos!T18,(Datos!J18+Datos!AD18-(Datos!T18+Datos!AL18))/(Datos!T18+Datos!AL18))," - ")</f>
        <v>5.2332195676905571E-2</v>
      </c>
      <c r="D18" s="855">
        <f>IF(ISNUMBER(
   IF(Criterios!B14="SI",(Datos!K18-Datos!U18)/Datos!U18,(Datos!K18+Datos!AE18-(Datos!U18+Datos!AM18))/(Datos!U18+Datos!AM18))
     ),IF(Criterios!B14="SI",(Datos!K18-Datos!U18)/Datos!U18,(Datos!K18+Datos!AE18-(Datos!U18+Datos!AM18))/(Datos!U18+Datos!AM18))," - ")</f>
        <v>6.5288035450516993E-2</v>
      </c>
      <c r="E18" s="855">
        <f>IF(ISNUMBER(
   IF(Criterios!B14="SI",(Datos!L18-Datos!V18)/Datos!V18,(Datos!L18+Datos!AF18-(Datos!V18+Datos!AN18))/(Datos!V18+Datos!AN18))
     ),IF(Criterios!B14="SI",(Datos!L18-Datos!V18)/Datos!V18,(Datos!L18+Datos!AF18-(Datos!V18+Datos!AN18))/(Datos!V18+Datos!AN18))," - ")</f>
        <v>4.9671526998878383E-2</v>
      </c>
      <c r="F18" s="856">
        <f>IF(ISNUMBER((Datos!M18-Datos!W18)/Datos!W18),(Datos!M18-Datos!W18)/Datos!W18," - ")</f>
        <v>7.4999999999999997E-2</v>
      </c>
      <c r="G18" s="857">
        <f>IF(ISNUMBER((Datos!N18-Datos!X18)/Datos!X18),(Datos!N18-Datos!X18)/Datos!X18," - ")</f>
        <v>0.17293600390815828</v>
      </c>
      <c r="H18" s="857">
        <f>IF(ISNUMBER(((NºAsuntos!G18/NºAsuntos!E18)-Datos!BD18)/Datos!BD18),((NºAsuntos!G18/NºAsuntos!E18)-Datos!BD18)/Datos!BD18," - ")</f>
        <v>1.2311549363248091E-2</v>
      </c>
      <c r="I18" s="857">
        <f>IF(ISNUMBER(((NºAsuntos!I18/NºAsuntos!G18)-Datos!BE18)/Datos!BE18),((NºAsuntos!I18/NºAsuntos!G18)-Datos!BE18)/Datos!BE18," - ")</f>
        <v>-1.4659423491069567E-2</v>
      </c>
      <c r="J18" s="857">
        <f>IF(ISNUMBER((('Resol  Asuntos'!D18/NºAsuntos!G18)-Datos!BF18)/Datos!BF18),(('Resol  Asuntos'!D18/NºAsuntos!G18)-Datos!BF18)/Datos!BF18," - ")</f>
        <v>9.1167498613422236E-3</v>
      </c>
      <c r="K18" s="857">
        <f>IF(ISNUMBER((((NºAsuntos!C18+NºAsuntos!E18)/NºAsuntos!G18)-Datos!BG18)/Datos!BG18),(((NºAsuntos!C18+NºAsuntos!E18)/NºAsuntos!G18)-Datos!BG18)/Datos!BG18," - ")</f>
        <v>-4.7342042800400585E-3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8.153047632171237E-2</v>
      </c>
      <c r="C19" s="802">
        <f>IF(ISNUMBER(
   IF(J_V="SI",(Datos!J19-Datos!T19)/Datos!T19,(Datos!J19+Datos!Z19-(Datos!T19+Datos!AH19))/(Datos!T19+Datos!AH19))
     ),IF(J_V="SI",(Datos!J19-Datos!T19)/Datos!T19,(Datos!J19+Datos!Z19-(Datos!T19+Datos!AH19))/(Datos!T19+Datos!AH19))," - ")</f>
        <v>-3.6706349206349208E-2</v>
      </c>
      <c r="D19" s="802">
        <f>IF(ISNUMBER(
   IF(J_V="SI",(Datos!K19-Datos!U19)/Datos!U19,(Datos!K19+Datos!AA19-(Datos!U19+Datos!AI19))/(Datos!U19+Datos!AI19))
     ),IF(J_V="SI",(Datos!K19-Datos!U19)/Datos!U19,(Datos!K19+Datos!AA19-(Datos!U19+Datos!AI19))/(Datos!U19+Datos!AI19))," - ")</f>
        <v>0.15968508615567439</v>
      </c>
      <c r="E19" s="802">
        <f>IF(ISNUMBER(
   IF(J_V="SI",(Datos!L19-Datos!V19)/Datos!V19,(Datos!L19+Datos!AB19-(Datos!V19+Datos!AJ19))/(Datos!V19+Datos!AJ19))
     ),IF(J_V="SI",(Datos!L19-Datos!V19)/Datos!V19,(Datos!L19+Datos!AB19-(Datos!V19+Datos!AJ19))/(Datos!V19+Datos!AJ19))," - ")</f>
        <v>2.0133013618060896E-2</v>
      </c>
      <c r="F19" s="803">
        <f>IF(ISNUMBER((Datos!M19-Datos!W19)/Datos!W19),(Datos!M19-Datos!W19)/Datos!W19," - ")</f>
        <v>0.10200364298724955</v>
      </c>
      <c r="G19" s="804">
        <f>IF(ISNUMBER((Datos!N19-Datos!X19)/Datos!X19),(Datos!N19-Datos!X19)/Datos!X19," - ")</f>
        <v>0.23574986164914222</v>
      </c>
      <c r="H19" s="805">
        <f>IF(ISNUMBER((Tasas!B19-Datos!BD19)/Datos!BD19),(Tasas!B19-Datos!BD19)/Datos!BD19," - ")</f>
        <v>0.20387494010805332</v>
      </c>
      <c r="I19" s="806">
        <f>IF(ISNUMBER((Tasas!C19-Datos!BE19)/Datos!BE19),(Tasas!C19-Datos!BE19)/Datos!BE19," - ")</f>
        <v>-0.12033617936764622</v>
      </c>
      <c r="J19" s="807">
        <f>IF(ISNUMBER((Tasas!D19-Datos!BF19)/Datos!BF19),(Tasas!D19-Datos!BF19)/Datos!BF19," - ")</f>
        <v>-0.45910487079326867</v>
      </c>
      <c r="K19" s="807">
        <f>IF(ISNUMBER((Tasas!E19-Datos!BG19)/Datos!BG19),(Tasas!E19-Datos!BG19)/Datos!BG19," - ")</f>
        <v>-9.2348777510644436E-2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QlZFY3NU/nIsUtGClIYYYBUnXm53Bsjn4MGV/S6xQD8HwpRCi5++2+5hlSADEhT8t7clL37uZU/ZJQJMJk4/g==" saltValue="Y4T1XocdTyt657rXbF9C2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SABADELL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1.4305555555555556</v>
      </c>
      <c r="C9" s="443">
        <f>IF(ISNUMBER(NºAsuntos!I9/NºAsuntos!G9),NºAsuntos!I9/NºAsuntos!G9," - ")</f>
        <v>4.0787794729542304</v>
      </c>
      <c r="D9" s="444">
        <f>IF(ISNUMBER('Resol  Asuntos'!D9/NºAsuntos!G9),'Resol  Asuntos'!D9/NºAsuntos!G9," - ")</f>
        <v>0.18196948682385575</v>
      </c>
      <c r="E9" s="445">
        <f>IF(ISNUMBER((NºAsuntos!C9+NºAsuntos!E9)/NºAsuntos!G9),(NºAsuntos!C9+NºAsuntos!E9)/NºAsuntos!G9," - ")</f>
        <v>5.0843273231622748</v>
      </c>
      <c r="G9" s="463"/>
    </row>
    <row r="10" spans="1:7">
      <c r="A10" s="402" t="str">
        <f>Datos!A10</f>
        <v>Jdos. Violencia contra la mujer</v>
      </c>
      <c r="B10" s="442">
        <f>IF(ISNUMBER(NºAsuntos!G10/NºAsuntos!E10),NºAsuntos!G10/NºAsuntos!E10," - ")</f>
        <v>1</v>
      </c>
      <c r="C10" s="443">
        <f>IF(ISNUMBER(NºAsuntos!I10/NºAsuntos!G10),NºAsuntos!I10/NºAsuntos!G10," - ")</f>
        <v>4.580645161290323</v>
      </c>
      <c r="D10" s="444">
        <f>IF(ISNUMBER('Resol  Asuntos'!D10/NºAsuntos!G10),'Resol  Asuntos'!D10/NºAsuntos!G10," - ")</f>
        <v>0.67741935483870963</v>
      </c>
      <c r="E10" s="445">
        <f>IF(ISNUMBER((NºAsuntos!C10+NºAsuntos!E10)/NºAsuntos!G10),(NºAsuntos!C10+NºAsuntos!E10)/NºAsuntos!G10," - ")</f>
        <v>5.580645161290323</v>
      </c>
      <c r="G10" s="463"/>
    </row>
    <row r="11" spans="1:7">
      <c r="A11" s="402" t="str">
        <f>Datos!A11</f>
        <v xml:space="preserve">Jdos. Familia                                   </v>
      </c>
      <c r="B11" s="442">
        <f>IF(ISNUMBER(NºAsuntos!G11/NºAsuntos!E11),NºAsuntos!G11/NºAsuntos!E11," - ")</f>
        <v>1.0347985347985349</v>
      </c>
      <c r="C11" s="443">
        <f>IF(ISNUMBER(NºAsuntos!I11/NºAsuntos!G11),NºAsuntos!I11/NºAsuntos!G11," - ")</f>
        <v>2.0371681415929204</v>
      </c>
      <c r="D11" s="444">
        <f>IF(ISNUMBER('Resol  Asuntos'!D11/NºAsuntos!G11),'Resol  Asuntos'!D11/NºAsuntos!G11," - ")</f>
        <v>0.25840707964601772</v>
      </c>
      <c r="E11" s="445">
        <f>IF(ISNUMBER((NºAsuntos!C11+NºAsuntos!E11)/NºAsuntos!G11),(NºAsuntos!C11+NºAsuntos!E11)/NºAsuntos!G11," - ")</f>
        <v>3.0159292035398231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1.3564740071036487</v>
      </c>
      <c r="C13" s="859">
        <f>IF(ISNUMBER(NºAsuntos!I13/NºAsuntos!G13),NºAsuntos!I13/NºAsuntos!G13," - ")</f>
        <v>3.8079028802666031</v>
      </c>
      <c r="D13" s="860">
        <f>IF(ISNUMBER('Resol  Asuntos'!D13/NºAsuntos!G13),'Resol  Asuntos'!D13/NºAsuntos!G13," - ")</f>
        <v>0.19590573672935016</v>
      </c>
      <c r="E13" s="861">
        <f>IF(ISNUMBER((NºAsuntos!C13+NºAsuntos!E13)/NºAsuntos!G13),(NºAsuntos!C13+NºAsuntos!E13)/NºAsuntos!G13," - ")</f>
        <v>4.8098071887645801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0.97639677322975804</v>
      </c>
      <c r="C15" s="443">
        <f>IF(ISNUMBER(NºAsuntos!I15/NºAsuntos!G15),NºAsuntos!I15/NºAsuntos!G15," - ")</f>
        <v>1.9244186046511629</v>
      </c>
      <c r="D15" s="444">
        <f>IF(ISNUMBER('Resol  Asuntos'!D15/NºAsuntos!G15),'Resol  Asuntos'!D15/NºAsuntos!G15," - ")</f>
        <v>0.10526315789473684</v>
      </c>
      <c r="E15" s="445">
        <f>IF(ISNUMBER((NºAsuntos!C15+NºAsuntos!E15)/NºAsuntos!G15),(NºAsuntos!C15+NºAsuntos!E15)/NºAsuntos!G15," - ")</f>
        <v>2.9182986536107709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0.95750708215297453</v>
      </c>
      <c r="C17" s="443">
        <f>IF(ISNUMBER(NºAsuntos!I17/NºAsuntos!G17),NºAsuntos!I17/NºAsuntos!G17," - ")</f>
        <v>0.7751479289940828</v>
      </c>
      <c r="D17" s="444">
        <f>IF(ISNUMBER('Resol  Asuntos'!D17/NºAsuntos!G17),'Resol  Asuntos'!D17/NºAsuntos!G17," - ")</f>
        <v>0.12721893491124261</v>
      </c>
      <c r="E17" s="445">
        <f>IF(ISNUMBER((NºAsuntos!C17+NºAsuntos!E17)/NºAsuntos!G17),(NºAsuntos!C17+NºAsuntos!E17)/NºAsuntos!G17," - ")</f>
        <v>1.7751479289940828</v>
      </c>
      <c r="G17" s="463"/>
    </row>
    <row r="18" spans="1:7" ht="14.25" thickTop="1" thickBot="1">
      <c r="A18" s="848" t="str">
        <f>Datos!A18</f>
        <v>TOTAL</v>
      </c>
      <c r="B18" s="858">
        <f>IF(ISNUMBER(NºAsuntos!G18/NºAsuntos!E18),NºAsuntos!G18/NºAsuntos!E18," - ")</f>
        <v>0.97459459459459463</v>
      </c>
      <c r="C18" s="859">
        <f>IF(ISNUMBER(NºAsuntos!I18/NºAsuntos!G18),NºAsuntos!I18/NºAsuntos!G18," - ")</f>
        <v>1.8166943982251802</v>
      </c>
      <c r="D18" s="862">
        <f>IF(ISNUMBER('Resol  Asuntos'!D18/NºAsuntos!G18),'Resol  Asuntos'!D18/NºAsuntos!G18," - ")</f>
        <v>0.10732113144758736</v>
      </c>
      <c r="E18" s="861">
        <f>IF(ISNUMBER((NºAsuntos!C18+NºAsuntos!E18)/NºAsuntos!G18),(NºAsuntos!C18+NºAsuntos!E18)/NºAsuntos!G18," - ")</f>
        <v>2.8111480865224627</v>
      </c>
      <c r="G18" s="463"/>
    </row>
    <row r="19" spans="1:7" ht="15.75" customHeight="1" thickTop="1" thickBot="1">
      <c r="A19" s="793" t="str">
        <f>Datos!A19</f>
        <v>TOTAL JURISDICCIONES</v>
      </c>
      <c r="B19" s="808">
        <f>IF(ISNUMBER(NºAsuntos!G19/NºAsuntos!E19),NºAsuntos!G19/NºAsuntos!E19," - ")</f>
        <v>1.1485949683683978</v>
      </c>
      <c r="C19" s="809">
        <f>IF(ISNUMBER(NºAsuntos!I19/NºAsuntos!G19),NºAsuntos!I19/NºAsuntos!G19," - ")</f>
        <v>2.8881772768028693</v>
      </c>
      <c r="D19" s="810">
        <f>IF(ISNUMBER('Resol  Asuntos'!D19/NºAsuntos!G19),'Resol  Asuntos'!D19/NºAsuntos!G19," - ")</f>
        <v>0.15498911233508389</v>
      </c>
      <c r="E19" s="811">
        <f>IF(ISNUMBER((NºAsuntos!C19+NºAsuntos!E19)/NºAsuntos!G19),(NºAsuntos!C19+NºAsuntos!E19)/NºAsuntos!G19," - ")</f>
        <v>3.8866401946970668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aopSmlGkRTAQJZ3/ps43+QQ9GV2lcNqhWY2Fm9Ljmjykf8o4Pbw9HhfiamG1ckC3QaJ6iWN+Ugr54UL0/CnqQ==" saltValue="RE7moq0i94YxFw9wjlY68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SABADELL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528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987</v>
      </c>
      <c r="Y9" s="334">
        <f>SUM(W9:X9)</f>
        <v>987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16387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656</v>
      </c>
      <c r="AJ9" s="229" t="str">
        <f>IF(ISNUMBER(Datos!BW9),Datos!BW9," - ")</f>
        <v xml:space="preserve"> - </v>
      </c>
      <c r="AK9" s="228" t="str">
        <f>IF(ISNUMBER(Datos!BX9),Datos!BX9," - ")</f>
        <v xml:space="preserve"> - </v>
      </c>
      <c r="AL9" s="243">
        <f>IF(ISNUMBER(NºAsuntos!G9/NºAsuntos!E9),NºAsuntos!G9/NºAsuntos!E9," - ")</f>
        <v>1.4305555555555556</v>
      </c>
      <c r="AM9" s="260">
        <f>IF(ISNUMBER(((NºAsuntos!I9/NºAsuntos!G9)*11)/factor_trimestre),((NºAsuntos!I9/NºAsuntos!G9)*11)/factor_trimestre," - ")</f>
        <v>8.1575589459084608</v>
      </c>
      <c r="AN9" s="244">
        <f>IF(ISNUMBER('Resol  Asuntos'!D9/NºAsuntos!G9),'Resol  Asuntos'!D9/NºAsuntos!G9," - ")</f>
        <v>0.18196948682385575</v>
      </c>
      <c r="AO9" s="245">
        <f>IF(ISNUMBER((NºAsuntos!C9+NºAsuntos!E9)/NºAsuntos!G9),(NºAsuntos!C9+NºAsuntos!E9)/NºAsuntos!G9," - ")</f>
        <v>5.0843273231622748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142</v>
      </c>
      <c r="G10" s="333">
        <f>IF(ISNUMBER(Datos!I10),Datos!I10," - ")</f>
        <v>142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1</v>
      </c>
      <c r="Y10" s="334">
        <f t="shared" ref="Y10:Y12" si="0">SUM(W10:X10)</f>
        <v>32</v>
      </c>
      <c r="Z10" s="335" t="str">
        <f>IF(ISNUMBER(Datos!CC10),Datos!CC10," - ")</f>
        <v xml:space="preserve"> - </v>
      </c>
      <c r="AA10" s="332">
        <f>IF(ISNUMBER(Datos!L10),Datos!L10,"-")</f>
        <v>142</v>
      </c>
      <c r="AB10" s="334">
        <f>IF(ISNUMBER(Datos!R10),Datos!R10," - ")</f>
        <v>163</v>
      </c>
      <c r="AC10" s="334">
        <f t="shared" ref="AC10:AC12" si="1">IF(ISNUMBER(AA10+AB10),AA10+AB10," - ")</f>
        <v>305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9.1612903225806459</v>
      </c>
      <c r="AN10" s="244">
        <f>IF(ISNUMBER('Resol  Asuntos'!D10/NºAsuntos!G10),'Resol  Asuntos'!D10/NºAsuntos!G10," - ")</f>
        <v>0.67741935483870963</v>
      </c>
      <c r="AO10" s="245">
        <f>IF(ISNUMBER((NºAsuntos!C10+NºAsuntos!E10)/NºAsuntos!G10),(NºAsuntos!C10+NºAsuntos!E10)/NºAsuntos!G10," - ")</f>
        <v>5.580645161290323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60</v>
      </c>
      <c r="Y11" s="334">
        <f t="shared" si="0"/>
        <v>60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806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146</v>
      </c>
      <c r="AJ11" s="231" t="str">
        <f>IF(ISNUMBER(Datos!BW11),Datos!BW11," - ")</f>
        <v xml:space="preserve"> - </v>
      </c>
      <c r="AK11" s="232" t="str">
        <f>IF(ISNUMBER(Datos!BX11),Datos!BX11," - ")</f>
        <v xml:space="preserve"> - </v>
      </c>
      <c r="AL11" s="243">
        <f>IF(ISNUMBER(NºAsuntos!G11/NºAsuntos!E11),NºAsuntos!G11/NºAsuntos!E11," - ")</f>
        <v>1.0347985347985349</v>
      </c>
      <c r="AM11" s="260">
        <f>IF(ISNUMBER(((NºAsuntos!I11/NºAsuntos!G11)*11)/factor_trimestre),((NºAsuntos!I11/NºAsuntos!G11)*11)/factor_trimestre," - ")</f>
        <v>4.0743362831858407</v>
      </c>
      <c r="AN11" s="244">
        <f>IF(ISNUMBER('Resol  Asuntos'!D11/NºAsuntos!G11),'Resol  Asuntos'!D11/NºAsuntos!G11," - ")</f>
        <v>0.25840707964601772</v>
      </c>
      <c r="AO11" s="245">
        <f>IF(ISNUMBER((NºAsuntos!C11+NºAsuntos!E11)/NºAsuntos!G11),(NºAsuntos!C11+NºAsuntos!E11)/NºAsuntos!G11," - ")</f>
        <v>3.0159292035398231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142</v>
      </c>
      <c r="G13" s="866">
        <f t="shared" si="3"/>
        <v>142</v>
      </c>
      <c r="H13" s="865">
        <f t="shared" si="3"/>
        <v>0</v>
      </c>
      <c r="I13" s="867">
        <f t="shared" si="3"/>
        <v>0</v>
      </c>
      <c r="J13" s="867">
        <f t="shared" si="3"/>
        <v>0</v>
      </c>
      <c r="K13" s="867">
        <f t="shared" si="3"/>
        <v>0</v>
      </c>
      <c r="L13" s="867">
        <f t="shared" si="3"/>
        <v>581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1048</v>
      </c>
      <c r="Y13" s="868">
        <f t="shared" si="4"/>
        <v>1079</v>
      </c>
      <c r="Z13" s="868">
        <f t="shared" si="4"/>
        <v>0</v>
      </c>
      <c r="AA13" s="868">
        <f t="shared" si="4"/>
        <v>142</v>
      </c>
      <c r="AB13" s="868">
        <f t="shared" si="4"/>
        <v>17356</v>
      </c>
      <c r="AC13" s="868">
        <f t="shared" si="4"/>
        <v>305</v>
      </c>
      <c r="AD13" s="868">
        <f t="shared" si="4"/>
        <v>0</v>
      </c>
      <c r="AE13" s="872">
        <f t="shared" si="4"/>
        <v>0</v>
      </c>
      <c r="AF13" s="865">
        <f t="shared" si="4"/>
        <v>0</v>
      </c>
      <c r="AG13" s="873">
        <f t="shared" si="4"/>
        <v>0</v>
      </c>
      <c r="AH13" s="870">
        <f t="shared" si="4"/>
        <v>0</v>
      </c>
      <c r="AI13" s="865">
        <f t="shared" si="4"/>
        <v>823</v>
      </c>
      <c r="AJ13" s="867">
        <f t="shared" si="4"/>
        <v>0</v>
      </c>
      <c r="AK13" s="870">
        <f>SUBTOTAL(9,AK9:AK12)</f>
        <v>0</v>
      </c>
      <c r="AL13" s="874">
        <f>IF(ISNUMBER(NºAsuntos!G13/NºAsuntos!E13),NºAsuntos!G13/NºAsuntos!E13," - ")</f>
        <v>1.3564740071036487</v>
      </c>
      <c r="AM13" s="874">
        <f>IF(ISNUMBER(((NºAsuntos!I13/NºAsuntos!G13)*11)/factor_trimestre),((NºAsuntos!I13/NºAsuntos!G13)*11)/factor_trimestre," - ")</f>
        <v>7.6158057605332061</v>
      </c>
      <c r="AN13" s="875">
        <f>IF(ISNUMBER('Resol  Asuntos'!D13/NºAsuntos!G13),'Resol  Asuntos'!D13/NºAsuntos!G13," - ")</f>
        <v>0.19590573672935016</v>
      </c>
      <c r="AO13" s="876">
        <f>IF(ISNUMBER((NºAsuntos!C13+NºAsuntos!E13)/NºAsuntos!G13),(NºAsuntos!C13+NºAsuntos!E13)/NºAsuntos!G13," - ")</f>
        <v>4.8098071887645801</v>
      </c>
      <c r="AP13" s="877" t="str">
        <f t="shared" si="2"/>
        <v xml:space="preserve"> - </v>
      </c>
      <c r="AQ13" s="877">
        <f>IF(ISNUMBER((H13-W13+K13)/(F13)),(H13-W13+K13)/(F13)," - ")</f>
        <v>-0.21830985915492956</v>
      </c>
      <c r="AR13" s="878">
        <f>IF(ISNUMBER((Datos!P13-Datos!Q13)/(Datos!R13-Datos!P13+Datos!Q13)),(Datos!P13-Datos!Q13)/(Datos!R13-Datos!P13+Datos!Q13)," - ")</f>
        <v>-2.6202098412164056E-2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6210</v>
      </c>
      <c r="G15" s="333">
        <f>IF(ISNUMBER(IF(D_I="SI",Datos!I15,Datos!I15+Datos!AC15)),IF(D_I="SI",Datos!I15,Datos!I15+Datos!AC15)," - ")</f>
        <v>6190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3268</v>
      </c>
      <c r="X15" s="226">
        <f>IF(ISNUMBER(Datos!Q15),Datos!Q15," - ")</f>
        <v>100</v>
      </c>
      <c r="Y15" s="334">
        <f>SUM(W15)</f>
        <v>3268</v>
      </c>
      <c r="Z15" s="335" t="str">
        <f>IF(ISNUMBER(Datos!CC15),Datos!CC15," - ")</f>
        <v xml:space="preserve"> - </v>
      </c>
      <c r="AA15" s="332">
        <f>IF(ISNUMBER(IF(D_I="SI",Datos!L15,Datos!L15+Datos!AF15)),IF(D_I="SI",Datos!L15,Datos!L15+Datos!AF15)," - ")</f>
        <v>6289</v>
      </c>
      <c r="AB15" s="334">
        <f>IF(ISNUMBER(Datos!R15),Datos!R15," - ")</f>
        <v>717</v>
      </c>
      <c r="AC15" s="334">
        <f t="shared" ref="AC15:AC17" si="6">IF(ISNUMBER(AA15+AB15),AA15+AB15," - ")</f>
        <v>7006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344</v>
      </c>
      <c r="AJ15" s="231" t="str">
        <f>IF(ISNUMBER(Datos!BW15),Datos!BW15," - ")</f>
        <v xml:space="preserve"> - </v>
      </c>
      <c r="AK15" s="232" t="str">
        <f>IF(ISNUMBER(Datos!BX15),Datos!BX15," - ")</f>
        <v xml:space="preserve"> - </v>
      </c>
      <c r="AL15" s="243">
        <f>IF(ISNUMBER(NºAsuntos!G15/NºAsuntos!E15),NºAsuntos!G15/NºAsuntos!E15," - ")</f>
        <v>0.97639677322975804</v>
      </c>
      <c r="AM15" s="260">
        <f>IF(ISNUMBER(((NºAsuntos!I15/NºAsuntos!G15)*11)/factor_trimestre),((NºAsuntos!I15/NºAsuntos!G15)*11)/factor_trimestre," - ")</f>
        <v>3.8488372093023258</v>
      </c>
      <c r="AN15" s="244">
        <f>IF(ISNUMBER('Resol  Asuntos'!D15/NºAsuntos!G15),'Resol  Asuntos'!D15/NºAsuntos!G15," - ")</f>
        <v>0.10526315789473684</v>
      </c>
      <c r="AO15" s="245">
        <f>IF(ISNUMBER((NºAsuntos!C15+NºAsuntos!E15)/NºAsuntos!G15),(NºAsuntos!C15+NºAsuntos!E15)/NºAsuntos!G15," - ")</f>
        <v>2.9182986536107709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338</v>
      </c>
      <c r="X17" s="226">
        <f>IF(ISNUMBER(Datos!Q17),Datos!Q17," - ")</f>
        <v>0</v>
      </c>
      <c r="Y17" s="334">
        <f t="shared" si="7"/>
        <v>338</v>
      </c>
      <c r="Z17" s="335" t="str">
        <f>IF(ISNUMBER(Datos!CC17),Datos!CC17," - ")</f>
        <v xml:space="preserve"> - </v>
      </c>
      <c r="AA17" s="332">
        <f>IF(ISNUMBER(Datos!L17),Datos!L17,"-")</f>
        <v>262</v>
      </c>
      <c r="AB17" s="334">
        <f>IF(ISNUMBER(Datos!R17),Datos!R17," - ")</f>
        <v>11</v>
      </c>
      <c r="AC17" s="334">
        <f t="shared" si="6"/>
        <v>273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43</v>
      </c>
      <c r="AJ17" s="231" t="str">
        <f>IF(ISNUMBER(Datos!BW17),Datos!BW17," - ")</f>
        <v xml:space="preserve"> - </v>
      </c>
      <c r="AK17" s="232" t="str">
        <f>IF(ISNUMBER(Datos!BX17),Datos!BX17," - ")</f>
        <v xml:space="preserve"> - </v>
      </c>
      <c r="AL17" s="243">
        <f>IF(ISNUMBER(NºAsuntos!G17/NºAsuntos!E17),NºAsuntos!G17/NºAsuntos!E17," - ")</f>
        <v>0.95750708215297453</v>
      </c>
      <c r="AM17" s="260">
        <f>IF(ISNUMBER(((NºAsuntos!I17/NºAsuntos!G17)*11)/factor_trimestre),((NºAsuntos!I17/NºAsuntos!G17)*11)/factor_trimestre," - ")</f>
        <v>1.5502958579881656</v>
      </c>
      <c r="AN17" s="244">
        <f>IF(ISNUMBER('Resol  Asuntos'!D17/NºAsuntos!G17),'Resol  Asuntos'!D17/NºAsuntos!G17," - ")</f>
        <v>0.12721893491124261</v>
      </c>
      <c r="AO17" s="245">
        <f>IF(ISNUMBER((NºAsuntos!C17+NºAsuntos!E17)/NºAsuntos!G17),(NºAsuntos!C17+NºAsuntos!E17)/NºAsuntos!G17," - ")</f>
        <v>1.7751479289940828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6210</v>
      </c>
      <c r="G18" s="866">
        <f>SUBTOTAL(9,G15:G17)</f>
        <v>6437</v>
      </c>
      <c r="H18" s="865">
        <f t="shared" ref="H18:O18" si="10">SUBTOTAL(9,H14:H17)</f>
        <v>0</v>
      </c>
      <c r="I18" s="867">
        <f t="shared" si="10"/>
        <v>0</v>
      </c>
      <c r="J18" s="867">
        <f t="shared" si="10"/>
        <v>0</v>
      </c>
      <c r="K18" s="867">
        <f t="shared" si="10"/>
        <v>0</v>
      </c>
      <c r="L18" s="867">
        <f t="shared" si="10"/>
        <v>133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3606</v>
      </c>
      <c r="X18" s="867">
        <f t="shared" si="11"/>
        <v>100</v>
      </c>
      <c r="Y18" s="868">
        <f t="shared" si="11"/>
        <v>3606</v>
      </c>
      <c r="Z18" s="868">
        <f t="shared" si="11"/>
        <v>0</v>
      </c>
      <c r="AA18" s="868">
        <f t="shared" si="11"/>
        <v>6551</v>
      </c>
      <c r="AB18" s="868">
        <f t="shared" si="11"/>
        <v>728</v>
      </c>
      <c r="AC18" s="868">
        <f t="shared" si="11"/>
        <v>7279</v>
      </c>
      <c r="AD18" s="868">
        <f t="shared" si="11"/>
        <v>0</v>
      </c>
      <c r="AE18" s="872">
        <f t="shared" si="11"/>
        <v>0</v>
      </c>
      <c r="AF18" s="865">
        <f t="shared" si="11"/>
        <v>0</v>
      </c>
      <c r="AG18" s="873">
        <f t="shared" si="11"/>
        <v>0</v>
      </c>
      <c r="AH18" s="870">
        <f t="shared" si="11"/>
        <v>0</v>
      </c>
      <c r="AI18" s="865">
        <f t="shared" si="11"/>
        <v>387</v>
      </c>
      <c r="AJ18" s="867">
        <f t="shared" si="11"/>
        <v>0</v>
      </c>
      <c r="AK18" s="870">
        <f t="shared" si="11"/>
        <v>0</v>
      </c>
      <c r="AL18" s="874">
        <f>IF(ISNUMBER(NºAsuntos!G18/NºAsuntos!E18),NºAsuntos!G18/NºAsuntos!E18," - ")</f>
        <v>0.97459459459459463</v>
      </c>
      <c r="AM18" s="874">
        <f>IF(ISNUMBER(((NºAsuntos!I18/NºAsuntos!G18)*11)/factor_trimestre),((NºAsuntos!I18/NºAsuntos!G18)*11)/factor_trimestre," - ")</f>
        <v>3.6333887964503604</v>
      </c>
      <c r="AN18" s="875">
        <f>IF(ISNUMBER('Resol  Asuntos'!D18/NºAsuntos!G18),'Resol  Asuntos'!D18/NºAsuntos!G18," - ")</f>
        <v>0.10732113144758736</v>
      </c>
      <c r="AO18" s="876">
        <f>IF(ISNUMBER((NºAsuntos!C18+NºAsuntos!E18)/NºAsuntos!G18),(NºAsuntos!C18+NºAsuntos!E18)/NºAsuntos!G18," - ")</f>
        <v>2.8111480865224627</v>
      </c>
      <c r="AP18" s="877" t="str">
        <f t="shared" si="2"/>
        <v xml:space="preserve"> - </v>
      </c>
      <c r="AQ18" s="877">
        <f>IF(ISNUMBER((H18-W18+K18)/(F18)),(H18-W18+K18)/(F18)," - ")</f>
        <v>-0.58067632850241546</v>
      </c>
      <c r="AR18" s="878">
        <f>IF(ISNUMBER((Datos!P18-Datos!Q18)/(Datos!R18-Datos!P18+Datos!Q18)),(Datos!P18-Datos!Q18)/(Datos!R18-Datos!P18+Datos!Q18)," - ")</f>
        <v>4.7482014388489209E-2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6352</v>
      </c>
      <c r="G19" s="821">
        <f t="shared" si="13"/>
        <v>6579</v>
      </c>
      <c r="H19" s="820">
        <f t="shared" si="13"/>
        <v>0</v>
      </c>
      <c r="I19" s="822">
        <f t="shared" si="13"/>
        <v>0</v>
      </c>
      <c r="J19" s="822">
        <f t="shared" si="13"/>
        <v>0</v>
      </c>
      <c r="K19" s="881">
        <f t="shared" si="13"/>
        <v>0</v>
      </c>
      <c r="L19" s="822">
        <f t="shared" si="13"/>
        <v>714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3637</v>
      </c>
      <c r="X19" s="821">
        <f t="shared" si="14"/>
        <v>1148</v>
      </c>
      <c r="Y19" s="828">
        <f t="shared" si="14"/>
        <v>4685</v>
      </c>
      <c r="Z19" s="828">
        <f t="shared" si="14"/>
        <v>0</v>
      </c>
      <c r="AA19" s="828">
        <f t="shared" si="14"/>
        <v>6693</v>
      </c>
      <c r="AB19" s="828">
        <f t="shared" si="14"/>
        <v>18084</v>
      </c>
      <c r="AC19" s="828">
        <f t="shared" si="14"/>
        <v>7584</v>
      </c>
      <c r="AD19" s="828">
        <f t="shared" si="14"/>
        <v>0</v>
      </c>
      <c r="AE19" s="830">
        <f t="shared" si="14"/>
        <v>0</v>
      </c>
      <c r="AF19" s="831">
        <f t="shared" si="14"/>
        <v>0</v>
      </c>
      <c r="AG19" s="832">
        <f t="shared" si="14"/>
        <v>0</v>
      </c>
      <c r="AH19" s="830">
        <f t="shared" si="14"/>
        <v>0</v>
      </c>
      <c r="AI19" s="820">
        <f t="shared" si="14"/>
        <v>1210</v>
      </c>
      <c r="AJ19" s="820">
        <f t="shared" si="14"/>
        <v>0</v>
      </c>
      <c r="AK19" s="830">
        <f t="shared" si="14"/>
        <v>0</v>
      </c>
      <c r="AL19" s="884">
        <f>IF(ISNUMBER(NºAsuntos!G19/NºAsuntos!E19),NºAsuntos!G19/NºAsuntos!E19," - ")</f>
        <v>1.1485949683683978</v>
      </c>
      <c r="AM19" s="885">
        <f>IF(ISNUMBER(((NºAsuntos!I19/NºAsuntos!G19)*11)/factor_trimestre),((NºAsuntos!I19/NºAsuntos!G19)*11)/factor_trimestre," - ")</f>
        <v>5.7763545536057386</v>
      </c>
      <c r="AN19" s="885">
        <f>IF(ISNUMBER('Resol  Asuntos'!D19/NºAsuntos!G19),'Resol  Asuntos'!D19/NºAsuntos!G19," - ")</f>
        <v>0.15498911233508389</v>
      </c>
      <c r="AO19" s="886">
        <f>IF(ISNUMBER((NºAsuntos!C19+NºAsuntos!E19)/NºAsuntos!G19),(NºAsuntos!C19+NºAsuntos!E19)/NºAsuntos!G19," - ")</f>
        <v>3.8866401946970668</v>
      </c>
      <c r="AP19" s="887" t="str">
        <f t="shared" si="2"/>
        <v xml:space="preserve"> - </v>
      </c>
      <c r="AQ19" s="888">
        <f>IF(OR(ISNUMBER(FIND("01",Criterios!A8,1)),ISNUMBER(FIND("02",Criterios!A8,1)),ISNUMBER(FIND("03",Criterios!A8,1)),ISNUMBER(FIND("04",Criterios!A8,1))),(I19-W19+K19)/(F19-K19),(H19-W19+K19)/(F19-K19))</f>
        <v>-0.57257556675062971</v>
      </c>
      <c r="AR19" s="889">
        <f>IF(ISNUMBER((Datos!P19-Datos!Q19)/(Datos!R19-Datos!P19+Datos!Q19)),(Datos!P19-Datos!Q19)/(Datos!R19-Datos!P19+Datos!Q19)," - ")</f>
        <v>-2.343665622637434E-2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2631.6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3.9299420408505319</v>
      </c>
      <c r="F21" s="252">
        <f>IF(ISNUMBER(STDEV(F8:F18)),STDEV(F8:F18),"-")</f>
        <v>3503.3614334426493</v>
      </c>
      <c r="G21" s="253">
        <f>IF(ISNUMBER(STDEV(G8:G18)),STDEV(G8:G18),"-")</f>
        <v>3362.5069962752495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1817.7603527418019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306.25355197162708</v>
      </c>
      <c r="AJ21" s="252">
        <f t="shared" si="18"/>
        <v>0</v>
      </c>
      <c r="AK21" s="254">
        <f t="shared" si="18"/>
        <v>0</v>
      </c>
      <c r="AL21" s="249">
        <f t="shared" si="18"/>
        <v>0.20019750334042119</v>
      </c>
      <c r="AM21" s="250">
        <f t="shared" si="18"/>
        <v>2.85065858352645</v>
      </c>
      <c r="AN21" s="250">
        <f t="shared" si="18"/>
        <v>0.20222237761056597</v>
      </c>
      <c r="AO21" s="251">
        <f t="shared" si="18"/>
        <v>1.4293171963946614</v>
      </c>
      <c r="AP21" s="291" t="str">
        <f t="shared" si="18"/>
        <v>-</v>
      </c>
      <c r="AQ21" s="292">
        <f t="shared" si="18"/>
        <v>0.25623178775023453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OPg159UVIHFXL1skR8jL1IHVLaj41zdzWdM24nN4I9IN4GQOWjVvmBBjvJFPZuqMA3Wai4DXLPnixi672QwMwg==" saltValue="vP0DziXJX5u2pEjOPrxd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SABADELL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0.12521440823327615</v>
      </c>
      <c r="I9" s="350">
        <f>IF(ISNUMBER((Tasas!C9-Datos!BE9)/Datos!BE9),(Tasas!C9-Datos!BE9)/Datos!BE9," - ")</f>
        <v>-0.22314254724931684</v>
      </c>
      <c r="J9" s="349">
        <f>IF(ISNUMBER((Tasas!D9-Datos!BF9)/Datos!BF9),(Tasas!D9-Datos!BF9)/Datos!BF9," - ")</f>
        <v>-0.59133599585582275</v>
      </c>
      <c r="K9" s="351">
        <f>IF(ISNUMBER((Tasas!E9-Datos!BG9)/Datos!BG9),(Tasas!E9-Datos!BG9)/Datos!BG9," - ")</f>
        <v>-0.18915245291114988</v>
      </c>
      <c r="M9" t="e">
        <f>IF(Monitorios="SI",Datos!CE9,0)</f>
        <v>#REF!</v>
      </c>
      <c r="N9" t="e">
        <f>IF(Monitorios="SI",Datos!CF9,0)</f>
        <v>#REF!</v>
      </c>
      <c r="O9" t="e">
        <f>IF(Monitorios="SI",Datos!CG9,0)</f>
        <v>#REF!</v>
      </c>
      <c r="P9" t="e">
        <f>IF(Monitorios="SI",Datos!CH9,0)</f>
        <v>#REF!</v>
      </c>
      <c r="Q9">
        <f>IF(J_V="SI",0,Datos!AG9)</f>
        <v>411</v>
      </c>
      <c r="R9">
        <f>IF(J_V="SI",0,Datos!AH9)</f>
        <v>105</v>
      </c>
      <c r="S9">
        <f>IF(J_V="SI",0,Datos!AI9)</f>
        <v>154</v>
      </c>
      <c r="T9">
        <f>IF(J_V="SI",0,Datos!AJ9)</f>
        <v>362</v>
      </c>
    </row>
    <row r="10" spans="2:20" ht="14.25">
      <c r="B10" s="275" t="s">
        <v>246</v>
      </c>
      <c r="C10" s="7" t="str">
        <f>Datos!A10</f>
        <v>Jdos. Violencia contra la mujer</v>
      </c>
      <c r="D10" s="352">
        <f>IF(ISNUMBER((Datos!I10-Datos!S10)/Datos!S10),(Datos!I10-Datos!S10)/Datos!S10," - ")</f>
        <v>0.17355371900826447</v>
      </c>
      <c r="E10" s="348">
        <f>IF(ISNUMBER((Datos!J10-Datos!T10)/Datos!T10),(Datos!J10-Datos!T10)/Datos!T10," - ")</f>
        <v>-6.0606060606060608E-2</v>
      </c>
      <c r="F10" s="348">
        <f>IF(ISNUMBER((Datos!K10-Datos!U10)/Datos!U10),(Datos!K10-Datos!U10)/Datos!U10," - ")</f>
        <v>-6.0606060606060608E-2</v>
      </c>
      <c r="G10" s="349">
        <f>IF(ISNUMBER((Datos!L10-Datos!V10)/Datos!V10),(Datos!L10-Datos!V10)/Datos!V10," - ")</f>
        <v>0.17355371900826447</v>
      </c>
      <c r="H10" s="230">
        <f>IF(ISNUMBER((Datos!M10-Datos!W10)/Datos!W10),(Datos!M10-Datos!W10)/Datos!W10," - ")</f>
        <v>0.75</v>
      </c>
      <c r="I10" s="350">
        <f>IF(ISNUMBER((Tasas!C10-Datos!BE10)/Datos!BE10),(Tasas!C10-Datos!BE10)/Datos!BE10," - ")</f>
        <v>0.24926686217008812</v>
      </c>
      <c r="J10" s="349">
        <f>IF(ISNUMBER((Tasas!D10-Datos!BF10)/Datos!BF10),(Tasas!D10-Datos!BF10)/Datos!BF10," - ")</f>
        <v>0.8629032258064514</v>
      </c>
      <c r="K10" s="351">
        <f>IF(ISNUMBER((Tasas!E10-Datos!BG10)/Datos!BG10),(Tasas!E10-Datos!BG10)/Datos!BG10," - ")</f>
        <v>0.19585253456221199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2.097902097902098E-2</v>
      </c>
      <c r="I11" s="350">
        <f>IF(ISNUMBER((Tasas!C11-Datos!BE11)/Datos!BE11),(Tasas!C11-Datos!BE11)/Datos!BE11," - ")</f>
        <v>-5.4164963759351014E-3</v>
      </c>
      <c r="J11" s="349">
        <f>IF(ISNUMBER((Tasas!D11-Datos!BF11)/Datos!BF11),(Tasas!D11-Datos!BF11)/Datos!BF11," - ")</f>
        <v>-0.57097798956206036</v>
      </c>
      <c r="K11" s="351">
        <f>IF(ISNUMBER((Tasas!E11-Datos!BG11)/Datos!BG11),(Tasas!E11-Datos!BG11)/Datos!BG11," - ")</f>
        <v>-1.1233337067323866E-2</v>
      </c>
      <c r="M11" t="e">
        <f>IF(Monitorios="SI",Datos!CE11,0)</f>
        <v>#REF!</v>
      </c>
      <c r="N11" t="e">
        <f>IF(Monitorios="SI",Datos!CF11,0)</f>
        <v>#REF!</v>
      </c>
      <c r="O11" t="e">
        <f>IF(Monitorios="SI",Datos!CG11,0)</f>
        <v>#REF!</v>
      </c>
      <c r="P11" t="e">
        <f>IF(Monitorios="SI",Datos!CH11,0)</f>
        <v>#REF!</v>
      </c>
      <c r="Q11">
        <f>IF(J_V="SI",0,Datos!AG11)</f>
        <v>44</v>
      </c>
      <c r="R11">
        <f>IF(J_V="SI",0,Datos!AH11)</f>
        <v>181</v>
      </c>
      <c r="S11">
        <f>IF(J_V="SI",0,Datos!AI11)</f>
        <v>182</v>
      </c>
      <c r="T11">
        <f>IF(J_V="SI",0,Datos!AJ11)</f>
        <v>43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0.11517615176151762</v>
      </c>
      <c r="I13" s="357">
        <f>IF(ISNUMBER((Tasas!C13-Datos!BE13)/Datos!BE13),(Tasas!C13-Datos!BE13)/Datos!BE13," - ")</f>
        <v>-0.1965041646543739</v>
      </c>
      <c r="J13" s="355">
        <f>IF(ISNUMBER((Tasas!D13-Datos!BF13)/Datos!BF13),(Tasas!D13-Datos!BF13)/Datos!BF13," - ")</f>
        <v>-0.58209273369462389</v>
      </c>
      <c r="K13" s="358">
        <f>IF(ISNUMBER((Tasas!E13-Datos!BG13)/Datos!BG13),(Tasas!E13-Datos!BG13)/Datos!BG13," - ")</f>
        <v>-0.16441271354743844</v>
      </c>
      <c r="M13" t="e">
        <f>IF(Monitorios="SI",Datos!CE13,0)</f>
        <v>#REF!</v>
      </c>
      <c r="N13" t="e">
        <f>IF(Monitorios="SI",Datos!CF13,0)</f>
        <v>#REF!</v>
      </c>
      <c r="O13" t="e">
        <f>IF(Monitorios="SI",Datos!CG13,0)</f>
        <v>#REF!</v>
      </c>
      <c r="P13" t="e">
        <f>IF(Monitorios="SI",Datos!CH13,0)</f>
        <v>#REF!</v>
      </c>
      <c r="Q13">
        <f>IF(J_V="SI",0,Datos!AG13)</f>
        <v>455</v>
      </c>
      <c r="R13">
        <f>IF(J_V="SI",0,Datos!AH13)</f>
        <v>286</v>
      </c>
      <c r="S13">
        <f>IF(J_V="SI",0,Datos!AI13)</f>
        <v>336</v>
      </c>
      <c r="T13">
        <f>IF(J_V="SI",0,Datos!AJ13)</f>
        <v>405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6.4854636160330298E-2</v>
      </c>
      <c r="E15" s="348">
        <f>IF(ISNUMBER(
   IF(D_I="SI",(Datos!J15-Datos!T15)/Datos!T15,(Datos!J15+Datos!AD15-(Datos!T15+Datos!AL15))/(Datos!T15+Datos!AL15))
     ),IF(D_I="SI",(Datos!J15-Datos!T15)/Datos!T15,(Datos!J15+Datos!AD15-(Datos!T15+Datos!AL15))/(Datos!T15+Datos!AL15))," - ")</f>
        <v>4.8558897243107767E-2</v>
      </c>
      <c r="F15" s="348">
        <f>IF(ISNUMBER(
   IF(D_I="SI",(Datos!K15-Datos!U15)/Datos!U15,(Datos!K15+Datos!AE15-(Datos!U15+Datos!AM15))/(Datos!U15+Datos!AM15))
     ),IF(D_I="SI",(Datos!K15-Datos!U15)/Datos!U15,(Datos!K15+Datos!AE15-(Datos!U15+Datos!AM15))/(Datos!U15+Datos!AM15))," - ")</f>
        <v>6.3802083333333329E-2</v>
      </c>
      <c r="G15" s="349">
        <f>IF(ISNUMBER(
   IF(D_I="SI",(Datos!L15-Datos!V15)/Datos!V15,(Datos!L15+Datos!AF15-(Datos!V15+Datos!AN15))/(Datos!V15+Datos!AN15))
     ),IF(D_I="SI",(Datos!L15-Datos!V15)/Datos!V15,(Datos!L15+Datos!AF15-(Datos!V15+Datos!AN15))/(Datos!V15+Datos!AN15))," - ")</f>
        <v>4.8516172057352452E-2</v>
      </c>
      <c r="H15" s="230">
        <f>IF(ISNUMBER((Datos!M15-Datos!W15)/Datos!W15),(Datos!M15-Datos!W15)/Datos!W15," - ")</f>
        <v>7.1651090342679122E-2</v>
      </c>
      <c r="I15" s="350">
        <f>IF(ISNUMBER((Tasas!C15-Datos!BE15)/Datos!BE15),(Tasas!C15-Datos!BE15)/Datos!BE15," - ")</f>
        <v>-1.4369130795536414E-2</v>
      </c>
      <c r="J15" s="349">
        <f>IF(ISNUMBER((Tasas!D15-Datos!BF15)/Datos!BF15),(Tasas!D15-Datos!BF15)/Datos!BF15," - ")</f>
        <v>7.3782587309394422E-3</v>
      </c>
      <c r="K15" s="351">
        <f>IF(ISNUMBER((Tasas!E15-Datos!BG15)/Datos!BG15),(Tasas!E15-Datos!BG15)/Datos!BG15," - ")</f>
        <v>-4.4404815222333534E-3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6.4655172413793108E-2</v>
      </c>
      <c r="E17" s="348">
        <f>IF(ISNUMBER(
   IF(D_I="SI",(Datos!J17-Datos!T17)/Datos!T17,(Datos!J17+Datos!AD17-(Datos!T17+Datos!AL17))/(Datos!T17+Datos!AL17))
     ),IF(D_I="SI",(Datos!J17-Datos!T17)/Datos!T17,(Datos!J17+Datos!AD17-(Datos!T17+Datos!AL17))/(Datos!T17+Datos!AL17))," - ")</f>
        <v>8.9506172839506168E-2</v>
      </c>
      <c r="F17" s="348">
        <f>IF(ISNUMBER(
   IF(D_I="SI",(Datos!K17-Datos!U17)/Datos!U17,(Datos!K17+Datos!AE17-(Datos!U17+Datos!AM17))/(Datos!U17+Datos!AM17))
     ),IF(D_I="SI",(Datos!K17-Datos!U17)/Datos!U17,(Datos!K17+Datos!AE17-(Datos!U17+Datos!AM17))/(Datos!U17+Datos!AM17))," - ")</f>
        <v>7.9872204472843447E-2</v>
      </c>
      <c r="G17" s="349">
        <f>IF(ISNUMBER(
   IF(D_I="SI",(Datos!L17-Datos!V17)/Datos!V17,(Datos!L17+Datos!AF17-(Datos!V17+Datos!AN17))/(Datos!V17+Datos!AN17))
     ),IF(D_I="SI",(Datos!L17-Datos!V17)/Datos!V17,(Datos!L17+Datos!AF17-(Datos!V17+Datos!AN17))/(Datos!V17+Datos!AN17))," - ")</f>
        <v>7.8189300411522639E-2</v>
      </c>
      <c r="H17" s="230">
        <f>IF(ISNUMBER((Datos!M17-Datos!W17)/Datos!W17),(Datos!M17-Datos!W17)/Datos!W17," - ")</f>
        <v>0.10256410256410256</v>
      </c>
      <c r="I17" s="350">
        <f>IF(ISNUMBER((Tasas!C17-Datos!BE17)/Datos!BE17),(Tasas!C17-Datos!BE17)/Datos!BE17," - ")</f>
        <v>-1.5584289088562847E-3</v>
      </c>
      <c r="J17" s="349">
        <f>IF(ISNUMBER((Tasas!D17-Datos!BF17)/Datos!BF17),(Tasas!D17-Datos!BF17)/Datos!BF17," - ")</f>
        <v>2.1013503262024107E-2</v>
      </c>
      <c r="K17" s="351">
        <f>IF(ISNUMBER((Tasas!E17-Datos!BG17)/Datos!BG17),(Tasas!E17-Datos!BG17)/Datos!BG17," - ")</f>
        <v>-6.8111191520157759E-4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6.4846980976013241E-2</v>
      </c>
      <c r="E18" s="354">
        <f>IF(ISNUMBER(
   IF(D_I="SI",(Datos!J18-Datos!T18)/Datos!T18,(Datos!J18+Datos!AD18-(Datos!T18+Datos!AL18))/(Datos!T18+Datos!AL18))
     ),IF(D_I="SI",(Datos!J18-Datos!T18)/Datos!T18,(Datos!J18+Datos!AD18-(Datos!T18+Datos!AL18))/(Datos!T18+Datos!AL18))," - ")</f>
        <v>5.2332195676905571E-2</v>
      </c>
      <c r="F18" s="354">
        <f>IF(ISNUMBER(
   IF(D_I="SI",(Datos!K18-Datos!U18)/Datos!U18,(Datos!K18+Datos!AE18-(Datos!U18+Datos!AM18))/(Datos!U18+Datos!AM18))
     ),IF(D_I="SI",(Datos!K18-Datos!U18)/Datos!U18,(Datos!K18+Datos!AE18-(Datos!U18+Datos!AM18))/(Datos!U18+Datos!AM18))," - ")</f>
        <v>6.5288035450516993E-2</v>
      </c>
      <c r="G18" s="355">
        <f>IF(ISNUMBER(
   IF(D_I="SI",(Datos!L18-Datos!V18)/Datos!V18,(Datos!L18+Datos!AF18-(Datos!V18+Datos!AN18))/(Datos!V18+Datos!AN18))
     ),IF(D_I="SI",(Datos!L18-Datos!V18)/Datos!V18,(Datos!L18+Datos!AF18-(Datos!V18+Datos!AN18))/(Datos!V18+Datos!AN18))," - ")</f>
        <v>4.9671526998878383E-2</v>
      </c>
      <c r="H18" s="356">
        <f>IF(ISNUMBER((Datos!M18-Datos!W18)/Datos!W18),(Datos!M18-Datos!W18)/Datos!W18," - ")</f>
        <v>7.4999999999999997E-2</v>
      </c>
      <c r="I18" s="357">
        <f>IF(ISNUMBER((Tasas!C18-Datos!BE18)/Datos!BE18),(Tasas!C18-Datos!BE18)/Datos!BE18," - ")</f>
        <v>-1.4659423491069567E-2</v>
      </c>
      <c r="J18" s="355">
        <f>IF(ISNUMBER((Tasas!D18-Datos!BF18)/Datos!BF18),(Tasas!D18-Datos!BF18)/Datos!BF18," - ")</f>
        <v>9.1167498613422236E-3</v>
      </c>
      <c r="K18" s="358">
        <f>IF(ISNUMBER((Tasas!E18-Datos!BG18)/Datos!BG18),(Tasas!E18-Datos!BG18)/Datos!BG18," - ")</f>
        <v>-4.7342042800400585E-3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8.153047632171237E-2</v>
      </c>
      <c r="E19" s="363">
        <f>IF(ISNUMBER(
   IF(J_V="SI",(Datos!J19-Datos!T19)/Datos!T19,(Datos!J19+Datos!Z19-(Datos!T19+Datos!AH19))/(Datos!T19+Datos!AH19))
     ),IF(J_V="SI",(Datos!J19-Datos!T19)/Datos!T19,(Datos!J19+Datos!Z19-(Datos!T19+Datos!AH19))/(Datos!T19+Datos!AH19))," - ")</f>
        <v>-3.6706349206349208E-2</v>
      </c>
      <c r="F19" s="363">
        <f>IF(ISNUMBER(
   IF(J_V="SI",(Datos!K19-Datos!U19)/Datos!U19,(Datos!K19+Datos!AA19-(Datos!U19+Datos!AI19))/(Datos!U19+Datos!AI19))
     ),IF(J_V="SI",(Datos!K19-Datos!U19)/Datos!U19,(Datos!K19+Datos!AA19-(Datos!U19+Datos!AI19))/(Datos!U19+Datos!AI19))," - ")</f>
        <v>0.15968508615567439</v>
      </c>
      <c r="G19" s="364">
        <f>IF(ISNUMBER(
   IF(J_V="SI",(Datos!L19-Datos!V19)/Datos!V19,(Datos!L19+Datos!AB19-(Datos!V19+Datos!AJ19))/(Datos!V19+Datos!AJ19))
     ),IF(J_V="SI",(Datos!L19-Datos!V19)/Datos!V19,(Datos!L19+Datos!AB19-(Datos!V19+Datos!AJ19))/(Datos!V19+Datos!AJ19))," - ")</f>
        <v>2.0133013618060896E-2</v>
      </c>
      <c r="H19" s="365">
        <f>IF(ISNUMBER((Datos!M19-Datos!W19)/Datos!W19),(Datos!M19-Datos!W19)/Datos!W19," - ")</f>
        <v>0.10200364298724955</v>
      </c>
      <c r="I19" s="362">
        <f>IF(ISNUMBER((Tasas!C19-Datos!BE19)/Datos!BE19),(Tasas!C19-Datos!BE19)/Datos!BE19," - ")</f>
        <v>-0.12033617936764622</v>
      </c>
      <c r="J19" s="363">
        <f>IF(ISNUMBER((Tasas!D19-Datos!BF19)/Datos!BF19),(Tasas!D19-Datos!BF19)/Datos!BF19," - ")</f>
        <v>-0.45910487079326867</v>
      </c>
      <c r="K19" s="364">
        <f>IF(ISNUMBER((Tasas!E19-Datos!BG19)/Datos!BG19),(Tasas!E19-Datos!BG19)/Datos!BG19," - ")</f>
        <v>-9.2348777510644436E-2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5.4384139531435227E-2</v>
      </c>
      <c r="E21" s="278">
        <f t="shared" si="1"/>
        <v>6.4729270891915311E-2</v>
      </c>
      <c r="F21" s="278">
        <f t="shared" si="1"/>
        <v>6.5532439481737759E-2</v>
      </c>
      <c r="G21" s="279">
        <f t="shared" si="1"/>
        <v>5.8999047146702177E-2</v>
      </c>
      <c r="H21" s="285">
        <f t="shared" si="1"/>
        <v>0.25369010613955789</v>
      </c>
      <c r="I21" s="277">
        <f t="shared" si="1"/>
        <v>0.15540737920732672</v>
      </c>
      <c r="J21" s="278">
        <f t="shared" si="1"/>
        <v>0.52566562532736349</v>
      </c>
      <c r="K21" s="279">
        <f t="shared" si="1"/>
        <v>0.12699739849333158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3EcI7usAyTiJTHMYqas7jtJLsO7dbJUO5q6TIYqPZCPuRRGfozX+L+4drRMNzceMP3TegIHUL/kI7rtO3faaA==" saltValue="PXvCf9pQdC/DE6eT7I/J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